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omments3.xml" ContentType="application/vnd.openxmlformats-officedocument.spreadsheetml.comments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omments4.xml" ContentType="application/vnd.openxmlformats-officedocument.spreadsheetml.comments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9.xml" ContentType="application/vnd.openxmlformats-officedocument.drawingml.chartshapes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omments5.xml" ContentType="application/vnd.openxmlformats-officedocument.spreadsheetml.comments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12.xml" ContentType="application/vnd.openxmlformats-officedocument.drawing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13.xml" ContentType="application/vnd.openxmlformats-officedocument.drawing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14.xml" ContentType="application/vnd.openxmlformats-officedocument.drawing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15.xml" ContentType="application/vnd.openxmlformats-officedocument.drawing+xml"/>
  <Override PartName="/xl/comments6.xml" ContentType="application/vnd.openxmlformats-officedocument.spreadsheetml.comments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drawings/drawing16.xml" ContentType="application/vnd.openxmlformats-officedocument.drawing+xml"/>
  <Override PartName="/xl/comments7.xml" ContentType="application/vnd.openxmlformats-officedocument.spreadsheetml.comments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drawings/drawing17.xml" ContentType="application/vnd.openxmlformats-officedocument.drawing+xml"/>
  <Override PartName="/xl/comments8.xml" ContentType="application/vnd.openxmlformats-officedocument.spreadsheetml.comments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18.xml" ContentType="application/vnd.openxmlformats-officedocument.drawing+xml"/>
  <Override PartName="/xl/comments9.xml" ContentType="application/vnd.openxmlformats-officedocument.spreadsheetml.comments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drawings/drawing19.xml" ContentType="application/vnd.openxmlformats-officedocument.drawing+xml"/>
  <Override PartName="/xl/comments10.xml" ContentType="application/vnd.openxmlformats-officedocument.spreadsheetml.comments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comments1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C:\Users\willi\Documents\HOA\"/>
    </mc:Choice>
  </mc:AlternateContent>
  <xr:revisionPtr revIDLastSave="0" documentId="13_ncr:1_{619FD4BF-0CDD-4B39-B12B-DE8B571FC5C2}" xr6:coauthVersionLast="47" xr6:coauthVersionMax="47" xr10:uidLastSave="{00000000-0000-0000-0000-000000000000}"/>
  <bookViews>
    <workbookView xWindow="-110" yWindow="-110" windowWidth="19420" windowHeight="11500" firstSheet="14" activeTab="21" xr2:uid="{00000000-000D-0000-FFFF-FFFF00000000}"/>
  </bookViews>
  <sheets>
    <sheet name="2014 To 2020" sheetId="5" r:id="rId1"/>
    <sheet name="2018 To 2020" sheetId="22" r:id="rId2"/>
    <sheet name="2018 To 2022" sheetId="27" r:id="rId3"/>
    <sheet name="PLE Financial History" sheetId="10" r:id="rId4"/>
    <sheet name="2014 Ck Reg" sheetId="16" r:id="rId5"/>
    <sheet name="2014 ByMo" sheetId="9" r:id="rId6"/>
    <sheet name="2015 Ck Reg" sheetId="14" r:id="rId7"/>
    <sheet name="2015 ByMo" sheetId="7" r:id="rId8"/>
    <sheet name="2016 Ck Reg" sheetId="15" r:id="rId9"/>
    <sheet name="2016 ByMo" sheetId="8" r:id="rId10"/>
    <sheet name="2017 Ck Reg" sheetId="13" r:id="rId11"/>
    <sheet name="2017 ByMo" sheetId="19" r:id="rId12"/>
    <sheet name="2018 Ck Reg" sheetId="11" r:id="rId13"/>
    <sheet name="2018 ByMo" sheetId="20" r:id="rId14"/>
    <sheet name="2019 Ck Reg" sheetId="12" r:id="rId15"/>
    <sheet name="2019 ByMo" sheetId="4" r:id="rId16"/>
    <sheet name="2020 Ck Reg" sheetId="24" r:id="rId17"/>
    <sheet name="2020 ByMo" sheetId="21" r:id="rId18"/>
    <sheet name="2021 Ck Reg" sheetId="26" r:id="rId19"/>
    <sheet name="2021 ByMo" sheetId="25" r:id="rId20"/>
    <sheet name="2022 Ck Reg" sheetId="28" r:id="rId21"/>
    <sheet name="2022 ByMo" sheetId="29" r:id="rId22"/>
    <sheet name="ReprRepl Reserve" sheetId="23" r:id="rId23"/>
    <sheet name="2014-2018 per Jan19 '19 HOA Rpt" sheetId="1" r:id="rId24"/>
    <sheet name="2019 By Tim" sheetId="2" r:id="rId25"/>
  </sheets>
  <definedNames>
    <definedName name="_xlnm.Print_Area" localSheetId="5">'2014 ByMo'!$A$1:$O$26</definedName>
    <definedName name="_xlnm.Print_Area" localSheetId="4">'2014 Ck Reg'!$A$1:$P$48</definedName>
    <definedName name="_xlnm.Print_Area" localSheetId="0">'2014 To 2020'!$A$1:$L$38</definedName>
    <definedName name="_xlnm.Print_Area" localSheetId="7">'2015 ByMo'!$A$1:$O$26</definedName>
    <definedName name="_xlnm.Print_Area" localSheetId="9">'2016 ByMo'!$A$1:$O$29</definedName>
    <definedName name="_xlnm.Print_Area" localSheetId="8">'2016 Ck Reg'!$A$1:$Q$74</definedName>
    <definedName name="_xlnm.Print_Area" localSheetId="11">'2017 ByMo'!$A$1:$O$29</definedName>
    <definedName name="_xlnm.Print_Area" localSheetId="10">'2017 Ck Reg'!$A$1:$O$56</definedName>
    <definedName name="_xlnm.Print_Area" localSheetId="13">'2018 ByMo'!$A$1:$O$28</definedName>
    <definedName name="_xlnm.Print_Area" localSheetId="15">'2019 ByMo'!$A$1:$P$32</definedName>
    <definedName name="_xlnm.Print_Area" localSheetId="14">'2019 Ck Reg'!$A$1:$O$70</definedName>
    <definedName name="_xlnm.Print_Area" localSheetId="17">'2020 ByMo'!$A$1:$P$26</definedName>
    <definedName name="_xlnm.Print_Area" localSheetId="16">'2020 Ck Reg'!$A$1:$O$74</definedName>
    <definedName name="_xlnm.Print_Area" localSheetId="19">'2021 ByMo'!$A$1:$P$26</definedName>
    <definedName name="_xlnm.Print_Area" localSheetId="18">'2021 Ck Reg'!$A$1:$O$54</definedName>
    <definedName name="_xlnm.Print_Area" localSheetId="21">'2022 ByMo'!$A$1:$P$25</definedName>
    <definedName name="_xlnm.Print_Area" localSheetId="20">'2022 Ck Reg'!$A$1:$O$63</definedName>
    <definedName name="_xlnm.Print_Area" localSheetId="3">'PLE Financial History'!$A$1:$X$33</definedName>
    <definedName name="_xlnm.Print_Area" localSheetId="22">'ReprRepl Reserve'!$A$1:$L$27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7" i="29" l="1"/>
  <c r="P10" i="29"/>
  <c r="P7" i="27"/>
  <c r="Q7" i="27"/>
  <c r="B31" i="10"/>
  <c r="C31" i="10" s="1"/>
  <c r="T32" i="10"/>
  <c r="F49" i="28"/>
  <c r="G48" i="28"/>
  <c r="G47" i="28"/>
  <c r="E46" i="28"/>
  <c r="J45" i="28"/>
  <c r="F44" i="28"/>
  <c r="G43" i="28"/>
  <c r="L42" i="28"/>
  <c r="J41" i="28"/>
  <c r="J38" i="28"/>
  <c r="F40" i="28"/>
  <c r="H39" i="28"/>
  <c r="E34" i="28"/>
  <c r="F37" i="28"/>
  <c r="L36" i="28"/>
  <c r="G35" i="28"/>
  <c r="J33" i="28"/>
  <c r="G32" i="28"/>
  <c r="J29" i="28"/>
  <c r="F31" i="28"/>
  <c r="G30" i="28"/>
  <c r="L28" i="28"/>
  <c r="L27" i="28" l="1"/>
  <c r="F26" i="28"/>
  <c r="J25" i="28"/>
  <c r="E23" i="28" l="1"/>
  <c r="F24" i="28"/>
  <c r="G22" i="28"/>
  <c r="J21" i="28"/>
  <c r="F20" i="28"/>
  <c r="E19" i="28"/>
  <c r="D48" i="25" l="1"/>
  <c r="E48" i="25" s="1"/>
  <c r="E41" i="29"/>
  <c r="C38" i="29"/>
  <c r="J18" i="28"/>
  <c r="F13" i="29"/>
  <c r="G13" i="29" s="1"/>
  <c r="H13" i="29" s="1"/>
  <c r="I13" i="29" s="1"/>
  <c r="J13" i="29" s="1"/>
  <c r="K13" i="29" s="1"/>
  <c r="L13" i="29" s="1"/>
  <c r="M13" i="29" s="1"/>
  <c r="N13" i="29" s="1"/>
  <c r="O13" i="29" s="1"/>
  <c r="P13" i="29" s="1"/>
  <c r="F17" i="28"/>
  <c r="G16" i="28"/>
  <c r="H15" i="28"/>
  <c r="J14" i="28"/>
  <c r="F13" i="28"/>
  <c r="L12" i="28"/>
  <c r="G11" i="28"/>
  <c r="J10" i="28"/>
  <c r="F9" i="28"/>
  <c r="G8" i="28"/>
  <c r="G7" i="28"/>
  <c r="F48" i="26"/>
  <c r="C36" i="29" l="1"/>
  <c r="C35" i="29"/>
  <c r="C34" i="29"/>
  <c r="C33" i="29"/>
  <c r="P23" i="29"/>
  <c r="O23" i="29"/>
  <c r="N23" i="29"/>
  <c r="M23" i="29"/>
  <c r="L23" i="29"/>
  <c r="K23" i="29"/>
  <c r="J23" i="29"/>
  <c r="I23" i="29"/>
  <c r="H23" i="29"/>
  <c r="G23" i="29"/>
  <c r="F23" i="29"/>
  <c r="E23" i="29"/>
  <c r="C23" i="29"/>
  <c r="D22" i="29"/>
  <c r="Q26" i="27" s="1"/>
  <c r="D21" i="29"/>
  <c r="D20" i="29"/>
  <c r="D19" i="29"/>
  <c r="Q24" i="27" s="1"/>
  <c r="D17" i="29"/>
  <c r="D37" i="29" s="1"/>
  <c r="D15" i="29"/>
  <c r="Q19" i="27" s="1"/>
  <c r="D13" i="29"/>
  <c r="D11" i="29"/>
  <c r="Q15" i="27" s="1"/>
  <c r="O52" i="27" s="1"/>
  <c r="U52" i="27" s="1"/>
  <c r="D10" i="29"/>
  <c r="D9" i="29"/>
  <c r="C6" i="29"/>
  <c r="P5" i="29"/>
  <c r="P6" i="29" s="1"/>
  <c r="O5" i="29"/>
  <c r="O6" i="29" s="1"/>
  <c r="N5" i="29"/>
  <c r="N6" i="29" s="1"/>
  <c r="M5" i="29"/>
  <c r="M6" i="29" s="1"/>
  <c r="L5" i="29"/>
  <c r="L6" i="29" s="1"/>
  <c r="K5" i="29"/>
  <c r="K6" i="29" s="1"/>
  <c r="J5" i="29"/>
  <c r="J6" i="29" s="1"/>
  <c r="I5" i="29"/>
  <c r="I6" i="29" s="1"/>
  <c r="H5" i="29"/>
  <c r="H6" i="29" s="1"/>
  <c r="G5" i="29"/>
  <c r="G6" i="29" s="1"/>
  <c r="F5" i="29"/>
  <c r="F6" i="29" s="1"/>
  <c r="E5" i="29"/>
  <c r="E6" i="29" s="1"/>
  <c r="D4" i="29"/>
  <c r="L59" i="28"/>
  <c r="K59" i="28"/>
  <c r="I59" i="28"/>
  <c r="B59" i="28"/>
  <c r="H59" i="28"/>
  <c r="E59" i="28"/>
  <c r="F59" i="28"/>
  <c r="G59" i="28"/>
  <c r="J6" i="28"/>
  <c r="J59" i="28" s="1"/>
  <c r="Q30" i="10"/>
  <c r="W30" i="10" s="1"/>
  <c r="I30" i="10" s="1"/>
  <c r="U30" i="10"/>
  <c r="B30" i="10"/>
  <c r="C30" i="10" s="1"/>
  <c r="H47" i="26"/>
  <c r="J46" i="26"/>
  <c r="F45" i="26"/>
  <c r="G44" i="26"/>
  <c r="J43" i="26"/>
  <c r="F42" i="26"/>
  <c r="G41" i="26"/>
  <c r="G40" i="26"/>
  <c r="J39" i="26"/>
  <c r="F38" i="26"/>
  <c r="J37" i="26"/>
  <c r="H34" i="26"/>
  <c r="L5" i="25"/>
  <c r="F36" i="26"/>
  <c r="G35" i="26"/>
  <c r="E33" i="26"/>
  <c r="J32" i="26"/>
  <c r="G30" i="26"/>
  <c r="L29" i="26"/>
  <c r="F31" i="26"/>
  <c r="J28" i="26"/>
  <c r="H27" i="26"/>
  <c r="H20" i="26"/>
  <c r="Q25" i="27" l="1"/>
  <c r="N31" i="10"/>
  <c r="Q21" i="27"/>
  <c r="D36" i="29"/>
  <c r="E36" i="29" s="1"/>
  <c r="Q17" i="27"/>
  <c r="O53" i="27" s="1"/>
  <c r="U53" i="27" s="1"/>
  <c r="O31" i="10"/>
  <c r="Q13" i="27"/>
  <c r="O50" i="27" s="1"/>
  <c r="U50" i="27" s="1"/>
  <c r="M31" i="10"/>
  <c r="D34" i="29"/>
  <c r="E34" i="29" s="1"/>
  <c r="Q14" i="27"/>
  <c r="O51" i="27" s="1"/>
  <c r="U51" i="27" s="1"/>
  <c r="O55" i="27"/>
  <c r="D35" i="29"/>
  <c r="E35" i="29" s="1"/>
  <c r="U31" i="10"/>
  <c r="C39" i="29"/>
  <c r="E37" i="29"/>
  <c r="D38" i="29"/>
  <c r="E38" i="29" s="1"/>
  <c r="D23" i="29"/>
  <c r="D6" i="29"/>
  <c r="Q8" i="27" s="1"/>
  <c r="Q10" i="27" s="1"/>
  <c r="D33" i="29"/>
  <c r="E33" i="29" s="1"/>
  <c r="D5" i="29"/>
  <c r="E31" i="10" s="1"/>
  <c r="E61" i="28"/>
  <c r="E63" i="28" s="1"/>
  <c r="M59" i="28"/>
  <c r="N25" i="27"/>
  <c r="N26" i="27"/>
  <c r="N24" i="27"/>
  <c r="N22" i="27"/>
  <c r="N21" i="27"/>
  <c r="N19" i="27"/>
  <c r="N17" i="27"/>
  <c r="N15" i="27"/>
  <c r="N14" i="27"/>
  <c r="N13" i="27"/>
  <c r="N8" i="27"/>
  <c r="N10" i="27" s="1"/>
  <c r="N7" i="27"/>
  <c r="K52" i="27"/>
  <c r="Q52" i="27" s="1"/>
  <c r="K51" i="27"/>
  <c r="Q51" i="27" s="1"/>
  <c r="F34" i="27"/>
  <c r="C34" i="27"/>
  <c r="J27" i="27"/>
  <c r="J29" i="27" s="1"/>
  <c r="H26" i="27"/>
  <c r="H25" i="27"/>
  <c r="E25" i="27"/>
  <c r="H24" i="27"/>
  <c r="H22" i="27"/>
  <c r="H21" i="27"/>
  <c r="H19" i="27"/>
  <c r="H17" i="27"/>
  <c r="H15" i="27"/>
  <c r="H14" i="27"/>
  <c r="H13" i="27"/>
  <c r="E10" i="27"/>
  <c r="H8" i="27"/>
  <c r="H10" i="27" s="1"/>
  <c r="L7" i="27"/>
  <c r="H7" i="27"/>
  <c r="C5" i="27"/>
  <c r="C3" i="27"/>
  <c r="C4" i="27" s="1"/>
  <c r="O54" i="27" l="1"/>
  <c r="U54" i="27" s="1"/>
  <c r="Q27" i="27"/>
  <c r="G31" i="10"/>
  <c r="U55" i="27"/>
  <c r="U32" i="10"/>
  <c r="W31" i="10"/>
  <c r="I31" i="10" s="1"/>
  <c r="D39" i="29"/>
  <c r="E39" i="29"/>
  <c r="E42" i="29" s="1"/>
  <c r="N27" i="27"/>
  <c r="E27" i="27"/>
  <c r="E29" i="27" s="1"/>
  <c r="H27" i="27"/>
  <c r="L7" i="22"/>
  <c r="F26" i="26"/>
  <c r="E25" i="26"/>
  <c r="G24" i="26"/>
  <c r="G21" i="26"/>
  <c r="J19" i="26"/>
  <c r="E18" i="26"/>
  <c r="G16" i="26"/>
  <c r="E15" i="26"/>
  <c r="I50" i="26"/>
  <c r="B50" i="26"/>
  <c r="K50" i="26"/>
  <c r="J23" i="26"/>
  <c r="F22" i="26"/>
  <c r="F17" i="26"/>
  <c r="J14" i="26"/>
  <c r="F13" i="26"/>
  <c r="J12" i="26"/>
  <c r="F11" i="26"/>
  <c r="G10" i="26"/>
  <c r="J9" i="26"/>
  <c r="F8" i="26"/>
  <c r="G7" i="26"/>
  <c r="J6" i="26"/>
  <c r="F68" i="24"/>
  <c r="G67" i="24"/>
  <c r="H66" i="24"/>
  <c r="J64" i="24"/>
  <c r="L63" i="24"/>
  <c r="F62" i="24"/>
  <c r="G61" i="24"/>
  <c r="J60" i="24"/>
  <c r="G59" i="24"/>
  <c r="F58" i="24"/>
  <c r="H57" i="24"/>
  <c r="J56" i="24"/>
  <c r="O56" i="27" l="1"/>
  <c r="U56" i="27" s="1"/>
  <c r="L50" i="26"/>
  <c r="H50" i="26"/>
  <c r="E50" i="26"/>
  <c r="E52" i="26" s="1"/>
  <c r="E54" i="26" s="1"/>
  <c r="J50" i="26"/>
  <c r="G50" i="26"/>
  <c r="F50" i="26"/>
  <c r="F55" i="24"/>
  <c r="J53" i="24"/>
  <c r="M50" i="26" l="1"/>
  <c r="F52" i="24"/>
  <c r="G51" i="24"/>
  <c r="H50" i="24"/>
  <c r="J49" i="24"/>
  <c r="C38" i="25" l="1"/>
  <c r="C37" i="25"/>
  <c r="C36" i="25"/>
  <c r="C35" i="25"/>
  <c r="C34" i="25"/>
  <c r="C33" i="25"/>
  <c r="P24" i="25"/>
  <c r="O24" i="25"/>
  <c r="N24" i="25"/>
  <c r="M24" i="25"/>
  <c r="L24" i="25"/>
  <c r="K24" i="25"/>
  <c r="H24" i="25"/>
  <c r="G24" i="25"/>
  <c r="F24" i="25"/>
  <c r="E24" i="25"/>
  <c r="C24" i="25"/>
  <c r="C39" i="25" s="1"/>
  <c r="D23" i="25"/>
  <c r="P26" i="27" s="1"/>
  <c r="D22" i="25"/>
  <c r="D21" i="25"/>
  <c r="D20" i="25"/>
  <c r="P24" i="27" s="1"/>
  <c r="D18" i="25"/>
  <c r="P22" i="27" s="1"/>
  <c r="D17" i="25"/>
  <c r="D15" i="25"/>
  <c r="P19" i="27" s="1"/>
  <c r="D13" i="25"/>
  <c r="J24" i="25"/>
  <c r="D11" i="25"/>
  <c r="I24" i="25"/>
  <c r="D10" i="25"/>
  <c r="P14" i="27" s="1"/>
  <c r="N51" i="27" s="1"/>
  <c r="T51" i="27" s="1"/>
  <c r="D9" i="25"/>
  <c r="O6" i="25"/>
  <c r="C6" i="25"/>
  <c r="P5" i="25"/>
  <c r="P6" i="25" s="1"/>
  <c r="O5" i="25"/>
  <c r="N5" i="25"/>
  <c r="N6" i="25" s="1"/>
  <c r="M5" i="25"/>
  <c r="M6" i="25" s="1"/>
  <c r="L6" i="25"/>
  <c r="K5" i="25"/>
  <c r="K6" i="25" s="1"/>
  <c r="J5" i="25"/>
  <c r="J6" i="25" s="1"/>
  <c r="I5" i="25"/>
  <c r="I6" i="25" s="1"/>
  <c r="H5" i="25"/>
  <c r="H6" i="25" s="1"/>
  <c r="G5" i="25"/>
  <c r="G6" i="25" s="1"/>
  <c r="F5" i="25"/>
  <c r="F6" i="25" s="1"/>
  <c r="E5" i="25"/>
  <c r="E6" i="25" s="1"/>
  <c r="D4" i="25"/>
  <c r="P21" i="27" l="1"/>
  <c r="N54" i="27" s="1"/>
  <c r="T54" i="27" s="1"/>
  <c r="N30" i="10"/>
  <c r="D36" i="25"/>
  <c r="E36" i="25" s="1"/>
  <c r="O30" i="10"/>
  <c r="P17" i="27"/>
  <c r="N53" i="27" s="1"/>
  <c r="T53" i="27" s="1"/>
  <c r="C40" i="25"/>
  <c r="P25" i="27"/>
  <c r="N55" i="27" s="1"/>
  <c r="T55" i="27" s="1"/>
  <c r="D35" i="25"/>
  <c r="E35" i="25" s="1"/>
  <c r="P15" i="27"/>
  <c r="N52" i="27" s="1"/>
  <c r="T52" i="27" s="1"/>
  <c r="D33" i="25"/>
  <c r="E33" i="25" s="1"/>
  <c r="P13" i="27"/>
  <c r="M30" i="10"/>
  <c r="D37" i="25"/>
  <c r="E37" i="25" s="1"/>
  <c r="D38" i="25"/>
  <c r="E38" i="25" s="1"/>
  <c r="D6" i="25"/>
  <c r="D40" i="25" s="1"/>
  <c r="D24" i="25"/>
  <c r="D5" i="25"/>
  <c r="D34" i="25"/>
  <c r="E34" i="25" s="1"/>
  <c r="E30" i="10" l="1"/>
  <c r="G30" i="10" s="1"/>
  <c r="P8" i="27"/>
  <c r="P10" i="27" s="1"/>
  <c r="P27" i="27"/>
  <c r="N50" i="27"/>
  <c r="D39" i="25"/>
  <c r="E39" i="25" s="1"/>
  <c r="T50" i="27" l="1"/>
  <c r="N56" i="27"/>
  <c r="T56" i="27" s="1"/>
  <c r="E40" i="25"/>
  <c r="L48" i="24"/>
  <c r="F47" i="24"/>
  <c r="G46" i="24"/>
  <c r="J45" i="24"/>
  <c r="J11" i="21" l="1"/>
  <c r="F44" i="24"/>
  <c r="K43" i="24"/>
  <c r="L42" i="24"/>
  <c r="L41" i="24"/>
  <c r="H39" i="24"/>
  <c r="J38" i="24"/>
  <c r="I10" i="21" l="1"/>
  <c r="L37" i="24" l="1"/>
  <c r="L36" i="24"/>
  <c r="F35" i="24" l="1"/>
  <c r="G34" i="24"/>
  <c r="L33" i="24"/>
  <c r="J32" i="24"/>
  <c r="H30" i="24" l="1"/>
  <c r="F31" i="24"/>
  <c r="G28" i="24"/>
  <c r="J27" i="24"/>
  <c r="J25" i="24" l="1"/>
  <c r="F24" i="24"/>
  <c r="E22" i="24" l="1"/>
  <c r="E21" i="24"/>
  <c r="J19" i="24"/>
  <c r="E18" i="24" l="1"/>
  <c r="J17" i="24"/>
  <c r="J16" i="24"/>
  <c r="H12" i="24"/>
  <c r="L11" i="24"/>
  <c r="F14" i="24"/>
  <c r="E15" i="24"/>
  <c r="E13" i="24"/>
  <c r="G10" i="24"/>
  <c r="H5" i="21" l="1"/>
  <c r="G5" i="21"/>
  <c r="D23" i="21"/>
  <c r="D22" i="21"/>
  <c r="D21" i="21"/>
  <c r="D20" i="21"/>
  <c r="D18" i="21"/>
  <c r="D17" i="21"/>
  <c r="D15" i="21"/>
  <c r="D13" i="21"/>
  <c r="D11" i="21"/>
  <c r="D10" i="21"/>
  <c r="D9" i="21"/>
  <c r="D4" i="21"/>
  <c r="C6" i="21"/>
  <c r="J9" i="24"/>
  <c r="J70" i="24" s="1"/>
  <c r="G7" i="24"/>
  <c r="G70" i="24" s="1"/>
  <c r="J6" i="24"/>
  <c r="K70" i="24"/>
  <c r="H70" i="24"/>
  <c r="B70" i="24"/>
  <c r="L70" i="24"/>
  <c r="I70" i="24"/>
  <c r="F8" i="24"/>
  <c r="F70" i="24" s="1"/>
  <c r="E70" i="24"/>
  <c r="D33" i="21" l="1"/>
  <c r="L13" i="27"/>
  <c r="M50" i="27" s="1"/>
  <c r="S50" i="27" s="1"/>
  <c r="L13" i="22"/>
  <c r="I13" i="5"/>
  <c r="L25" i="27"/>
  <c r="L25" i="22"/>
  <c r="I27" i="5"/>
  <c r="L26" i="22"/>
  <c r="I28" i="5"/>
  <c r="D35" i="21"/>
  <c r="E35" i="21" s="1"/>
  <c r="L15" i="27"/>
  <c r="M52" i="27" s="1"/>
  <c r="I15" i="5"/>
  <c r="L15" i="22"/>
  <c r="L26" i="27"/>
  <c r="I29" i="5"/>
  <c r="D36" i="21"/>
  <c r="E36" i="21" s="1"/>
  <c r="L17" i="27"/>
  <c r="M53" i="27" s="1"/>
  <c r="I19" i="5"/>
  <c r="O29" i="10" s="1"/>
  <c r="L17" i="22"/>
  <c r="L21" i="27"/>
  <c r="L21" i="22"/>
  <c r="I23" i="5"/>
  <c r="N29" i="10" s="1"/>
  <c r="L22" i="27"/>
  <c r="I24" i="5"/>
  <c r="L22" i="22"/>
  <c r="L19" i="27"/>
  <c r="I21" i="5"/>
  <c r="L19" i="22"/>
  <c r="D34" i="21"/>
  <c r="E34" i="21" s="1"/>
  <c r="L14" i="27"/>
  <c r="M51" i="27" s="1"/>
  <c r="S51" i="27" s="1"/>
  <c r="I14" i="5"/>
  <c r="L14" i="22"/>
  <c r="L24" i="27"/>
  <c r="I26" i="5"/>
  <c r="L24" i="22"/>
  <c r="D37" i="21"/>
  <c r="E37" i="21" s="1"/>
  <c r="D38" i="21"/>
  <c r="E38" i="21" s="1"/>
  <c r="D24" i="21"/>
  <c r="M70" i="24"/>
  <c r="E72" i="24"/>
  <c r="E74" i="24" s="1"/>
  <c r="L56" i="12"/>
  <c r="J30" i="5"/>
  <c r="M54" i="27" l="1"/>
  <c r="S54" i="27" s="1"/>
  <c r="M29" i="10"/>
  <c r="L27" i="22"/>
  <c r="I30" i="5"/>
  <c r="E33" i="21"/>
  <c r="M55" i="27"/>
  <c r="L27" i="27"/>
  <c r="L64" i="12"/>
  <c r="M56" i="27" l="1"/>
  <c r="S56" i="27" s="1"/>
  <c r="S55" i="27"/>
  <c r="J59" i="12"/>
  <c r="F63" i="12"/>
  <c r="H62" i="12"/>
  <c r="J27" i="22"/>
  <c r="J29" i="22"/>
  <c r="E6" i="12"/>
  <c r="N6" i="12" s="1"/>
  <c r="J7" i="12"/>
  <c r="F8" i="12"/>
  <c r="G9" i="12"/>
  <c r="J10" i="12"/>
  <c r="F11" i="12"/>
  <c r="E12" i="12"/>
  <c r="J13" i="12"/>
  <c r="E14" i="12"/>
  <c r="E15" i="12"/>
  <c r="F16" i="12"/>
  <c r="E17" i="12"/>
  <c r="I18" i="12"/>
  <c r="E19" i="12"/>
  <c r="J20" i="12"/>
  <c r="F21" i="12"/>
  <c r="J22" i="12"/>
  <c r="F23" i="12"/>
  <c r="J24" i="12"/>
  <c r="F25" i="12"/>
  <c r="G26" i="12"/>
  <c r="J27" i="12"/>
  <c r="F28" i="12"/>
  <c r="J29" i="12"/>
  <c r="F30" i="12"/>
  <c r="J31" i="12"/>
  <c r="F32" i="12"/>
  <c r="J33" i="12"/>
  <c r="L34" i="12"/>
  <c r="I35" i="12"/>
  <c r="L36" i="12"/>
  <c r="G37" i="12"/>
  <c r="J38" i="12"/>
  <c r="L39" i="12"/>
  <c r="L40" i="12"/>
  <c r="L41" i="12"/>
  <c r="L43" i="12"/>
  <c r="L44" i="12"/>
  <c r="H45" i="12"/>
  <c r="L46" i="12"/>
  <c r="H47" i="12"/>
  <c r="L48" i="12"/>
  <c r="H49" i="12"/>
  <c r="F50" i="12"/>
  <c r="L51" i="12"/>
  <c r="J52" i="12"/>
  <c r="G53" i="12"/>
  <c r="L54" i="12"/>
  <c r="L55" i="12"/>
  <c r="L57" i="12"/>
  <c r="F58" i="12"/>
  <c r="L60" i="12"/>
  <c r="O24" i="4"/>
  <c r="J50" i="5"/>
  <c r="H50" i="5"/>
  <c r="G50" i="5"/>
  <c r="F50" i="5"/>
  <c r="C50" i="5"/>
  <c r="G49" i="5"/>
  <c r="F49" i="5"/>
  <c r="E49" i="5"/>
  <c r="D49" i="5"/>
  <c r="G48" i="5"/>
  <c r="F48" i="5"/>
  <c r="J6" i="23"/>
  <c r="I8" i="23" s="1"/>
  <c r="I9" i="23" s="1"/>
  <c r="I10" i="23" s="1"/>
  <c r="I11" i="23" s="1"/>
  <c r="G6" i="23"/>
  <c r="F8" i="23" s="1"/>
  <c r="K8" i="23" s="1"/>
  <c r="D6" i="23"/>
  <c r="C23" i="23" s="1"/>
  <c r="C24" i="23" s="1"/>
  <c r="C25" i="23" s="1"/>
  <c r="C26" i="23" s="1"/>
  <c r="C27" i="23" s="1"/>
  <c r="C28" i="23" s="1"/>
  <c r="C29" i="23" s="1"/>
  <c r="C30" i="23" s="1"/>
  <c r="C31" i="23" s="1"/>
  <c r="C32" i="23" s="1"/>
  <c r="C33" i="23" s="1"/>
  <c r="C34" i="23" s="1"/>
  <c r="C35" i="23" s="1"/>
  <c r="C36" i="23" s="1"/>
  <c r="C37" i="23" s="1"/>
  <c r="C38" i="23" s="1"/>
  <c r="C39" i="23" s="1"/>
  <c r="C40" i="23" s="1"/>
  <c r="C41" i="23" s="1"/>
  <c r="C42" i="23" s="1"/>
  <c r="C43" i="23" s="1"/>
  <c r="C44" i="23" s="1"/>
  <c r="C45" i="23" s="1"/>
  <c r="C46" i="23" s="1"/>
  <c r="C47" i="23" s="1"/>
  <c r="C48" i="23" s="1"/>
  <c r="G30" i="2"/>
  <c r="I30" i="2" s="1"/>
  <c r="K30" i="2" s="1"/>
  <c r="M30" i="2" s="1"/>
  <c r="O30" i="2" s="1"/>
  <c r="Q30" i="2" s="1"/>
  <c r="S30" i="2" s="1"/>
  <c r="U30" i="2" s="1"/>
  <c r="W30" i="2" s="1"/>
  <c r="E30" i="2"/>
  <c r="I33" i="1"/>
  <c r="I35" i="1" s="1"/>
  <c r="C3" i="1" s="1"/>
  <c r="C4" i="1" s="1"/>
  <c r="H33" i="1"/>
  <c r="H35" i="1" s="1"/>
  <c r="I3" i="1" s="1"/>
  <c r="I4" i="1" s="1"/>
  <c r="G33" i="1"/>
  <c r="G35" i="1" s="1"/>
  <c r="H3" i="1" s="1"/>
  <c r="H4" i="1" s="1"/>
  <c r="F33" i="1"/>
  <c r="F35" i="1" s="1"/>
  <c r="G3" i="1" s="1"/>
  <c r="E33" i="1"/>
  <c r="E35" i="1" s="1"/>
  <c r="F3" i="1" s="1"/>
  <c r="F4" i="1" s="1"/>
  <c r="C33" i="1"/>
  <c r="C35" i="1" s="1"/>
  <c r="I9" i="1"/>
  <c r="H9" i="1"/>
  <c r="G9" i="1"/>
  <c r="F9" i="1"/>
  <c r="E9" i="1"/>
  <c r="C9" i="1"/>
  <c r="G4" i="1"/>
  <c r="C34" i="21"/>
  <c r="P24" i="21"/>
  <c r="O24" i="21"/>
  <c r="N24" i="21"/>
  <c r="M24" i="21"/>
  <c r="L24" i="21"/>
  <c r="K24" i="21"/>
  <c r="J24" i="21"/>
  <c r="I24" i="21"/>
  <c r="H24" i="21"/>
  <c r="G24" i="21"/>
  <c r="F24" i="21"/>
  <c r="E24" i="21"/>
  <c r="L28" i="5"/>
  <c r="H21" i="22"/>
  <c r="C38" i="21"/>
  <c r="C35" i="21"/>
  <c r="C33" i="21"/>
  <c r="L19" i="5"/>
  <c r="L6" i="21"/>
  <c r="P5" i="21"/>
  <c r="P6" i="21" s="1"/>
  <c r="O5" i="21"/>
  <c r="O6" i="21" s="1"/>
  <c r="N5" i="21"/>
  <c r="N6" i="21" s="1"/>
  <c r="M5" i="21"/>
  <c r="M6" i="21" s="1"/>
  <c r="L5" i="21"/>
  <c r="K5" i="21"/>
  <c r="K6" i="21"/>
  <c r="J5" i="21"/>
  <c r="J6" i="21" s="1"/>
  <c r="I5" i="21"/>
  <c r="I6" i="21" s="1"/>
  <c r="G6" i="21"/>
  <c r="F5" i="21"/>
  <c r="E5" i="21"/>
  <c r="E6" i="21" s="1"/>
  <c r="M24" i="4"/>
  <c r="L24" i="4"/>
  <c r="K24" i="4"/>
  <c r="J24" i="4"/>
  <c r="I24" i="4"/>
  <c r="H24" i="4"/>
  <c r="G24" i="4"/>
  <c r="F24" i="4"/>
  <c r="E24" i="4"/>
  <c r="C24" i="4"/>
  <c r="D23" i="4"/>
  <c r="H29" i="5" s="1"/>
  <c r="D22" i="4"/>
  <c r="H28" i="5" s="1"/>
  <c r="D21" i="4"/>
  <c r="F25" i="27" s="1"/>
  <c r="D20" i="4"/>
  <c r="F24" i="27" s="1"/>
  <c r="D18" i="4"/>
  <c r="N17" i="4"/>
  <c r="D17" i="4" s="1"/>
  <c r="F21" i="27" s="1"/>
  <c r="D15" i="4"/>
  <c r="F19" i="27" s="1"/>
  <c r="N11" i="4"/>
  <c r="D11" i="4" s="1"/>
  <c r="N10" i="4"/>
  <c r="P9" i="4"/>
  <c r="D9" i="4" s="1"/>
  <c r="F13" i="27" s="1"/>
  <c r="D13" i="4"/>
  <c r="H19" i="5" s="1"/>
  <c r="O28" i="10" s="1"/>
  <c r="P6" i="4"/>
  <c r="O6" i="4"/>
  <c r="N6" i="4"/>
  <c r="M6" i="4"/>
  <c r="L6" i="4"/>
  <c r="K6" i="4"/>
  <c r="J6" i="4"/>
  <c r="I6" i="4"/>
  <c r="H6" i="4"/>
  <c r="G6" i="4"/>
  <c r="F6" i="4"/>
  <c r="E6" i="4"/>
  <c r="C6" i="4"/>
  <c r="D5" i="4"/>
  <c r="F8" i="27" s="1"/>
  <c r="I66" i="12"/>
  <c r="K66" i="12"/>
  <c r="B66" i="12"/>
  <c r="O24" i="20"/>
  <c r="N24" i="20"/>
  <c r="M24" i="20"/>
  <c r="L24" i="20"/>
  <c r="K24" i="20"/>
  <c r="J24" i="20"/>
  <c r="I24" i="20"/>
  <c r="H24" i="20"/>
  <c r="G24" i="20"/>
  <c r="F24" i="20"/>
  <c r="E24" i="20"/>
  <c r="D24" i="20"/>
  <c r="C23" i="20"/>
  <c r="C22" i="20"/>
  <c r="C35" i="20" s="1"/>
  <c r="D35" i="20" s="1"/>
  <c r="C21" i="20"/>
  <c r="C19" i="20"/>
  <c r="C18" i="20"/>
  <c r="C16" i="20"/>
  <c r="C14" i="20"/>
  <c r="C32" i="20" s="1"/>
  <c r="D32" i="20" s="1"/>
  <c r="C13" i="20"/>
  <c r="C31" i="20" s="1"/>
  <c r="D31" i="20" s="1"/>
  <c r="C12" i="20"/>
  <c r="C30" i="20" s="1"/>
  <c r="C10" i="20"/>
  <c r="O7" i="20"/>
  <c r="N7" i="20"/>
  <c r="M7" i="20"/>
  <c r="L7" i="20"/>
  <c r="K7" i="20"/>
  <c r="J7" i="20"/>
  <c r="I7" i="20"/>
  <c r="H7" i="20"/>
  <c r="G7" i="20"/>
  <c r="F7" i="20"/>
  <c r="E7" i="20"/>
  <c r="D7" i="20"/>
  <c r="C6" i="20"/>
  <c r="C5" i="20"/>
  <c r="C2" i="20"/>
  <c r="D2" i="20" s="1"/>
  <c r="D26" i="20" s="1"/>
  <c r="K56" i="11"/>
  <c r="B56" i="11"/>
  <c r="E55" i="11"/>
  <c r="D54" i="11"/>
  <c r="D53" i="11"/>
  <c r="D52" i="11"/>
  <c r="H51" i="11"/>
  <c r="I50" i="11"/>
  <c r="D49" i="11"/>
  <c r="G48" i="11"/>
  <c r="D47" i="11"/>
  <c r="E46" i="11"/>
  <c r="I45" i="11"/>
  <c r="F44" i="11"/>
  <c r="E43" i="11"/>
  <c r="I42" i="11"/>
  <c r="E41" i="11"/>
  <c r="F40" i="11"/>
  <c r="I39" i="11"/>
  <c r="K38" i="11"/>
  <c r="C25" i="27" s="1"/>
  <c r="H37" i="11"/>
  <c r="G36" i="11"/>
  <c r="D35" i="11"/>
  <c r="E34" i="11"/>
  <c r="I33" i="11"/>
  <c r="E32" i="11"/>
  <c r="I31" i="11"/>
  <c r="E30" i="11"/>
  <c r="F29" i="11"/>
  <c r="I28" i="11"/>
  <c r="E27" i="11"/>
  <c r="D26" i="11"/>
  <c r="F25" i="11"/>
  <c r="I24" i="11"/>
  <c r="E23" i="11"/>
  <c r="F22" i="11"/>
  <c r="F21" i="11"/>
  <c r="D20" i="11"/>
  <c r="G19" i="11"/>
  <c r="D18" i="11"/>
  <c r="I17" i="11"/>
  <c r="D16" i="11"/>
  <c r="D15" i="11"/>
  <c r="D14" i="11"/>
  <c r="E13" i="11"/>
  <c r="F12" i="11"/>
  <c r="H11" i="11"/>
  <c r="H56" i="11" s="1"/>
  <c r="C22" i="27" s="1"/>
  <c r="G10" i="11"/>
  <c r="E9" i="11"/>
  <c r="E56" i="11" s="1"/>
  <c r="G19" i="5" s="1"/>
  <c r="G51" i="5" s="1"/>
  <c r="J8" i="11"/>
  <c r="J56" i="11" s="1"/>
  <c r="F7" i="11"/>
  <c r="E6" i="11"/>
  <c r="M6" i="11" s="1"/>
  <c r="M7" i="11" s="1"/>
  <c r="O25" i="19"/>
  <c r="N25" i="19"/>
  <c r="M25" i="19"/>
  <c r="L25" i="19"/>
  <c r="J25" i="19"/>
  <c r="I25" i="19"/>
  <c r="H25" i="19"/>
  <c r="G25" i="19"/>
  <c r="F25" i="19"/>
  <c r="E25" i="19"/>
  <c r="D25" i="19"/>
  <c r="C24" i="19"/>
  <c r="C23" i="19"/>
  <c r="C22" i="19"/>
  <c r="C21" i="19"/>
  <c r="C19" i="19"/>
  <c r="C18" i="19"/>
  <c r="C35" i="19" s="1"/>
  <c r="D35" i="19" s="1"/>
  <c r="C16" i="19"/>
  <c r="C36" i="19" s="1"/>
  <c r="D36" i="19" s="1"/>
  <c r="C14" i="19"/>
  <c r="C33" i="19" s="1"/>
  <c r="D33" i="19" s="1"/>
  <c r="C13" i="19"/>
  <c r="C32" i="19" s="1"/>
  <c r="D32" i="19" s="1"/>
  <c r="K12" i="19"/>
  <c r="K25" i="19" s="1"/>
  <c r="C12" i="19"/>
  <c r="C31" i="19" s="1"/>
  <c r="C10" i="19"/>
  <c r="C34" i="19" s="1"/>
  <c r="D34" i="19" s="1"/>
  <c r="O7" i="19"/>
  <c r="N7" i="19"/>
  <c r="M7" i="19"/>
  <c r="L7" i="19"/>
  <c r="K7" i="19"/>
  <c r="J7" i="19"/>
  <c r="I7" i="19"/>
  <c r="H7" i="19"/>
  <c r="G7" i="19"/>
  <c r="F7" i="19"/>
  <c r="E7" i="19"/>
  <c r="D7" i="19"/>
  <c r="C6" i="19"/>
  <c r="G5" i="19"/>
  <c r="C5" i="19" s="1"/>
  <c r="C2" i="19"/>
  <c r="D2" i="19" s="1"/>
  <c r="K54" i="13"/>
  <c r="J54" i="13"/>
  <c r="B54" i="13"/>
  <c r="F53" i="13"/>
  <c r="I52" i="13"/>
  <c r="H51" i="13"/>
  <c r="F50" i="13"/>
  <c r="G49" i="13"/>
  <c r="F48" i="13"/>
  <c r="F47" i="13"/>
  <c r="N47" i="13" s="1"/>
  <c r="G44" i="13"/>
  <c r="L43" i="13"/>
  <c r="G42" i="13"/>
  <c r="G41" i="13"/>
  <c r="F40" i="13"/>
  <c r="H39" i="13"/>
  <c r="I38" i="13"/>
  <c r="G37" i="13"/>
  <c r="I36" i="13"/>
  <c r="F35" i="13"/>
  <c r="H34" i="13"/>
  <c r="G33" i="13"/>
  <c r="I32" i="13"/>
  <c r="I31" i="13"/>
  <c r="F30" i="13"/>
  <c r="E29" i="13"/>
  <c r="G28" i="13"/>
  <c r="F27" i="13"/>
  <c r="E26" i="13"/>
  <c r="I25" i="13"/>
  <c r="L24" i="13"/>
  <c r="E23" i="13"/>
  <c r="E22" i="13"/>
  <c r="F21" i="13"/>
  <c r="G20" i="13"/>
  <c r="H19" i="13"/>
  <c r="E18" i="13"/>
  <c r="E17" i="13"/>
  <c r="F16" i="13"/>
  <c r="G15" i="13"/>
  <c r="L14" i="13"/>
  <c r="I13" i="13"/>
  <c r="H12" i="13"/>
  <c r="F11" i="13"/>
  <c r="E10" i="13"/>
  <c r="I9" i="13"/>
  <c r="G8" i="13"/>
  <c r="F7" i="13"/>
  <c r="G6" i="13"/>
  <c r="O25" i="8"/>
  <c r="N25" i="8"/>
  <c r="M25" i="8"/>
  <c r="L25" i="8"/>
  <c r="K25" i="8"/>
  <c r="J25" i="8"/>
  <c r="H25" i="8"/>
  <c r="G25" i="8"/>
  <c r="F25" i="8"/>
  <c r="D25" i="8"/>
  <c r="C24" i="8"/>
  <c r="C23" i="8"/>
  <c r="E28" i="5" s="1"/>
  <c r="F22" i="8"/>
  <c r="C22" i="8"/>
  <c r="C21" i="8"/>
  <c r="E19" i="8"/>
  <c r="E25" i="8" s="1"/>
  <c r="C18" i="8"/>
  <c r="E23" i="5" s="1"/>
  <c r="N25" i="10" s="1"/>
  <c r="C16" i="8"/>
  <c r="C14" i="8"/>
  <c r="C33" i="8" s="1"/>
  <c r="D33" i="8" s="1"/>
  <c r="C13" i="8"/>
  <c r="C32" i="8" s="1"/>
  <c r="D32" i="8" s="1"/>
  <c r="I12" i="8"/>
  <c r="I25" i="8" s="1"/>
  <c r="C12" i="8"/>
  <c r="C31" i="8" s="1"/>
  <c r="C10" i="8"/>
  <c r="O7" i="8"/>
  <c r="N7" i="8"/>
  <c r="M7" i="8"/>
  <c r="L7" i="8"/>
  <c r="K7" i="8"/>
  <c r="J7" i="8"/>
  <c r="I7" i="8"/>
  <c r="H7" i="8"/>
  <c r="G7" i="8"/>
  <c r="F7" i="8"/>
  <c r="E7" i="8"/>
  <c r="D7" i="8"/>
  <c r="C6" i="8"/>
  <c r="E9" i="5" s="1"/>
  <c r="C5" i="8"/>
  <c r="D2" i="8"/>
  <c r="L70" i="15"/>
  <c r="B70" i="15"/>
  <c r="J69" i="15"/>
  <c r="G68" i="15"/>
  <c r="H67" i="15"/>
  <c r="I66" i="15"/>
  <c r="G65" i="15"/>
  <c r="H64" i="15"/>
  <c r="E63" i="15"/>
  <c r="N62" i="15"/>
  <c r="K61" i="15"/>
  <c r="I60" i="15"/>
  <c r="G59" i="15"/>
  <c r="H58" i="15"/>
  <c r="J57" i="15"/>
  <c r="G56" i="15"/>
  <c r="H55" i="15"/>
  <c r="J54" i="15"/>
  <c r="G53" i="15"/>
  <c r="H52" i="15"/>
  <c r="I51" i="15"/>
  <c r="J50" i="15"/>
  <c r="G49" i="15"/>
  <c r="H48" i="15"/>
  <c r="J47" i="15"/>
  <c r="K46" i="15"/>
  <c r="G45" i="15"/>
  <c r="H44" i="15"/>
  <c r="H43" i="15"/>
  <c r="I42" i="15"/>
  <c r="J40" i="15"/>
  <c r="E39" i="15"/>
  <c r="E38" i="15"/>
  <c r="K37" i="15"/>
  <c r="G36" i="15"/>
  <c r="H35" i="15"/>
  <c r="E34" i="15"/>
  <c r="J33" i="15"/>
  <c r="E32" i="15"/>
  <c r="N31" i="15"/>
  <c r="G30" i="15"/>
  <c r="E29" i="15"/>
  <c r="H28" i="15"/>
  <c r="I27" i="15"/>
  <c r="E26" i="15"/>
  <c r="J25" i="15"/>
  <c r="K24" i="15"/>
  <c r="E23" i="15"/>
  <c r="G22" i="15"/>
  <c r="H21" i="15"/>
  <c r="N20" i="15"/>
  <c r="N19" i="15"/>
  <c r="N70" i="15" s="1"/>
  <c r="E18" i="15"/>
  <c r="K17" i="15"/>
  <c r="H16" i="15"/>
  <c r="G15" i="15"/>
  <c r="J14" i="15"/>
  <c r="I13" i="15"/>
  <c r="J12" i="15"/>
  <c r="K11" i="15"/>
  <c r="K10" i="15"/>
  <c r="F9" i="15"/>
  <c r="F70" i="15" s="1"/>
  <c r="G8" i="15"/>
  <c r="H7" i="15"/>
  <c r="M6" i="15"/>
  <c r="M70" i="15" s="1"/>
  <c r="O24" i="7"/>
  <c r="N24" i="7"/>
  <c r="L24" i="7"/>
  <c r="J24" i="7"/>
  <c r="H24" i="7"/>
  <c r="G24" i="7"/>
  <c r="D24" i="7"/>
  <c r="C23" i="7"/>
  <c r="C22" i="7"/>
  <c r="D28" i="5" s="1"/>
  <c r="M21" i="7"/>
  <c r="C20" i="7"/>
  <c r="E18" i="7"/>
  <c r="E24" i="7" s="1"/>
  <c r="C17" i="7"/>
  <c r="C15" i="7"/>
  <c r="K13" i="7"/>
  <c r="K24" i="7" s="1"/>
  <c r="C13" i="7"/>
  <c r="C32" i="7" s="1"/>
  <c r="D32" i="7" s="1"/>
  <c r="C12" i="7"/>
  <c r="C31" i="7" s="1"/>
  <c r="D31" i="7" s="1"/>
  <c r="M11" i="7"/>
  <c r="I11" i="7"/>
  <c r="I24" i="7" s="1"/>
  <c r="F11" i="7"/>
  <c r="F24" i="7" s="1"/>
  <c r="C9" i="7"/>
  <c r="O6" i="7"/>
  <c r="N6" i="7"/>
  <c r="M6" i="7"/>
  <c r="L6" i="7"/>
  <c r="K6" i="7"/>
  <c r="J6" i="7"/>
  <c r="I6" i="7"/>
  <c r="H6" i="7"/>
  <c r="F6" i="7"/>
  <c r="E6" i="7"/>
  <c r="D6" i="7"/>
  <c r="G5" i="7"/>
  <c r="C5" i="7" s="1"/>
  <c r="C6" i="7" s="1"/>
  <c r="D2" i="7"/>
  <c r="D26" i="7" s="1"/>
  <c r="E2" i="7" s="1"/>
  <c r="E26" i="7" s="1"/>
  <c r="F2" i="7" s="1"/>
  <c r="F26" i="7" s="1"/>
  <c r="K49" i="14"/>
  <c r="G49" i="14"/>
  <c r="B49" i="14"/>
  <c r="F48" i="14"/>
  <c r="H47" i="14"/>
  <c r="I46" i="14"/>
  <c r="F45" i="14"/>
  <c r="H44" i="14"/>
  <c r="F43" i="14"/>
  <c r="N42" i="14"/>
  <c r="H41" i="14"/>
  <c r="N40" i="14"/>
  <c r="H39" i="14"/>
  <c r="M38" i="14"/>
  <c r="M49" i="14" s="1"/>
  <c r="F37" i="14"/>
  <c r="H36" i="14"/>
  <c r="J35" i="14"/>
  <c r="F34" i="14"/>
  <c r="I33" i="14"/>
  <c r="J32" i="14"/>
  <c r="N31" i="14"/>
  <c r="F30" i="14"/>
  <c r="J29" i="14"/>
  <c r="H28" i="14"/>
  <c r="F27" i="14"/>
  <c r="H26" i="14"/>
  <c r="N25" i="14"/>
  <c r="I24" i="14"/>
  <c r="H23" i="14"/>
  <c r="J22" i="14"/>
  <c r="F21" i="14"/>
  <c r="H20" i="14"/>
  <c r="J19" i="14"/>
  <c r="F18" i="14"/>
  <c r="I17" i="14"/>
  <c r="J16" i="14"/>
  <c r="L15" i="14"/>
  <c r="L49" i="14" s="1"/>
  <c r="E14" i="14"/>
  <c r="E49" i="14" s="1"/>
  <c r="F13" i="14"/>
  <c r="H12" i="14"/>
  <c r="H11" i="14"/>
  <c r="F10" i="14"/>
  <c r="I9" i="14"/>
  <c r="J8" i="14"/>
  <c r="J7" i="14"/>
  <c r="F6" i="14"/>
  <c r="P6" i="14" s="1"/>
  <c r="P7" i="14" s="1"/>
  <c r="P8" i="14" s="1"/>
  <c r="O24" i="9"/>
  <c r="M24" i="9"/>
  <c r="K24" i="9"/>
  <c r="I24" i="9"/>
  <c r="H24" i="9"/>
  <c r="G24" i="9"/>
  <c r="E24" i="9"/>
  <c r="D24" i="9"/>
  <c r="C23" i="9"/>
  <c r="C22" i="9"/>
  <c r="C21" i="9"/>
  <c r="C27" i="5" s="1"/>
  <c r="C53" i="5" s="1"/>
  <c r="C20" i="9"/>
  <c r="C18" i="9"/>
  <c r="C17" i="9"/>
  <c r="C34" i="9" s="1"/>
  <c r="D34" i="9" s="1"/>
  <c r="C15" i="9"/>
  <c r="C13" i="9"/>
  <c r="C32" i="9" s="1"/>
  <c r="D32" i="9" s="1"/>
  <c r="C12" i="9"/>
  <c r="C31" i="9" s="1"/>
  <c r="D31" i="9" s="1"/>
  <c r="N11" i="9"/>
  <c r="N24" i="9" s="1"/>
  <c r="L11" i="9"/>
  <c r="L24" i="9" s="1"/>
  <c r="J11" i="9"/>
  <c r="J24" i="9" s="1"/>
  <c r="F11" i="9"/>
  <c r="F24" i="9" s="1"/>
  <c r="C9" i="9"/>
  <c r="C33" i="9" s="1"/>
  <c r="D33" i="9" s="1"/>
  <c r="O6" i="9"/>
  <c r="N6" i="9"/>
  <c r="M6" i="9"/>
  <c r="L6" i="9"/>
  <c r="K6" i="9"/>
  <c r="J6" i="9"/>
  <c r="I6" i="9"/>
  <c r="F6" i="9"/>
  <c r="E6" i="9"/>
  <c r="D6" i="9"/>
  <c r="H5" i="9"/>
  <c r="H6" i="9" s="1"/>
  <c r="G5" i="9"/>
  <c r="G6" i="9" s="1"/>
  <c r="D2" i="9"/>
  <c r="M45" i="16"/>
  <c r="L45" i="16"/>
  <c r="K45" i="16"/>
  <c r="F45" i="16"/>
  <c r="B45" i="16"/>
  <c r="I43" i="16"/>
  <c r="J42" i="16"/>
  <c r="H41" i="16"/>
  <c r="N40" i="16"/>
  <c r="H39" i="16"/>
  <c r="G38" i="16"/>
  <c r="G45" i="16" s="1"/>
  <c r="I37" i="16"/>
  <c r="J35" i="16"/>
  <c r="J34" i="16"/>
  <c r="H33" i="16"/>
  <c r="H32" i="16"/>
  <c r="J31" i="16"/>
  <c r="H30" i="16"/>
  <c r="I29" i="16"/>
  <c r="J28" i="16"/>
  <c r="H27" i="16"/>
  <c r="H26" i="16"/>
  <c r="J25" i="16"/>
  <c r="I24" i="16"/>
  <c r="E23" i="16"/>
  <c r="H22" i="16"/>
  <c r="J21" i="16"/>
  <c r="E20" i="16"/>
  <c r="H19" i="16"/>
  <c r="J18" i="16"/>
  <c r="I17" i="16"/>
  <c r="E16" i="16"/>
  <c r="J15" i="16"/>
  <c r="N14" i="16"/>
  <c r="H13" i="16"/>
  <c r="N12" i="16"/>
  <c r="H11" i="16"/>
  <c r="J10" i="16"/>
  <c r="I9" i="16"/>
  <c r="H8" i="16"/>
  <c r="J7" i="16"/>
  <c r="H6" i="16"/>
  <c r="P6" i="16" s="1"/>
  <c r="P7" i="16" s="1"/>
  <c r="P8" i="16" s="1"/>
  <c r="P9" i="16" s="1"/>
  <c r="P10" i="16" s="1"/>
  <c r="P11" i="16" s="1"/>
  <c r="P12" i="16" s="1"/>
  <c r="P13" i="16" s="1"/>
  <c r="P14" i="16" s="1"/>
  <c r="P15" i="16" s="1"/>
  <c r="P16" i="16" s="1"/>
  <c r="P17" i="16" s="1"/>
  <c r="P18" i="16" s="1"/>
  <c r="P19" i="16" s="1"/>
  <c r="P20" i="16" s="1"/>
  <c r="P21" i="16" s="1"/>
  <c r="P22" i="16" s="1"/>
  <c r="P23" i="16" s="1"/>
  <c r="P24" i="16" s="1"/>
  <c r="P25" i="16" s="1"/>
  <c r="P26" i="16" s="1"/>
  <c r="P27" i="16" s="1"/>
  <c r="P28" i="16" s="1"/>
  <c r="P29" i="16" s="1"/>
  <c r="P30" i="16" s="1"/>
  <c r="P31" i="16" s="1"/>
  <c r="P32" i="16" s="1"/>
  <c r="P33" i="16" s="1"/>
  <c r="P34" i="16" s="1"/>
  <c r="P35" i="16" s="1"/>
  <c r="P36" i="16" s="1"/>
  <c r="P37" i="16" s="1"/>
  <c r="P38" i="16" s="1"/>
  <c r="P39" i="16" s="1"/>
  <c r="P40" i="16" s="1"/>
  <c r="P41" i="16" s="1"/>
  <c r="P42" i="16" s="1"/>
  <c r="P43" i="16" s="1"/>
  <c r="P44" i="16" s="1"/>
  <c r="W29" i="10"/>
  <c r="I29" i="10" s="1"/>
  <c r="B29" i="10"/>
  <c r="C29" i="10" s="1"/>
  <c r="R28" i="10"/>
  <c r="C28" i="10"/>
  <c r="W27" i="10"/>
  <c r="I27" i="10" s="1"/>
  <c r="C27" i="10"/>
  <c r="W26" i="10"/>
  <c r="I26" i="10" s="1"/>
  <c r="C26" i="10"/>
  <c r="W25" i="10"/>
  <c r="I25" i="10" s="1"/>
  <c r="C25" i="10"/>
  <c r="W24" i="10"/>
  <c r="I24" i="10" s="1"/>
  <c r="C24" i="10"/>
  <c r="W23" i="10"/>
  <c r="I23" i="10" s="1"/>
  <c r="C23" i="10"/>
  <c r="W22" i="10"/>
  <c r="I22" i="10" s="1"/>
  <c r="H22" i="10" s="1"/>
  <c r="G22" i="10"/>
  <c r="C22" i="10"/>
  <c r="W21" i="10"/>
  <c r="I21" i="10" s="1"/>
  <c r="H21" i="10" s="1"/>
  <c r="P21" i="10" s="1"/>
  <c r="G21" i="10"/>
  <c r="C21" i="10"/>
  <c r="W20" i="10"/>
  <c r="I20" i="10" s="1"/>
  <c r="G20" i="10"/>
  <c r="C20" i="10"/>
  <c r="W19" i="10"/>
  <c r="I19" i="10" s="1"/>
  <c r="K19" i="10"/>
  <c r="G19" i="10"/>
  <c r="C19" i="10"/>
  <c r="W18" i="10"/>
  <c r="I18" i="10" s="1"/>
  <c r="K18" i="10"/>
  <c r="G18" i="10"/>
  <c r="C18" i="10"/>
  <c r="Q17" i="10"/>
  <c r="Q32" i="10" s="1"/>
  <c r="K17" i="10"/>
  <c r="G17" i="10"/>
  <c r="C17" i="10"/>
  <c r="W16" i="10"/>
  <c r="I16" i="10" s="1"/>
  <c r="K16" i="10"/>
  <c r="G16" i="10"/>
  <c r="C16" i="10"/>
  <c r="W15" i="10"/>
  <c r="I15" i="10" s="1"/>
  <c r="K15" i="10"/>
  <c r="G15" i="10"/>
  <c r="C15" i="10"/>
  <c r="W14" i="10"/>
  <c r="I14" i="10" s="1"/>
  <c r="K14" i="10"/>
  <c r="G14" i="10"/>
  <c r="C14" i="10"/>
  <c r="W13" i="10"/>
  <c r="I13" i="10" s="1"/>
  <c r="K13" i="10"/>
  <c r="G13" i="10"/>
  <c r="C13" i="10"/>
  <c r="W12" i="10"/>
  <c r="I12" i="10" s="1"/>
  <c r="K12" i="10"/>
  <c r="G12" i="10"/>
  <c r="C12" i="10"/>
  <c r="W11" i="10"/>
  <c r="I11" i="10" s="1"/>
  <c r="K11" i="10"/>
  <c r="G11" i="10"/>
  <c r="C11" i="10"/>
  <c r="W10" i="10"/>
  <c r="I10" i="10" s="1"/>
  <c r="K10" i="10"/>
  <c r="G10" i="10"/>
  <c r="S9" i="10"/>
  <c r="S32" i="10" s="1"/>
  <c r="K9" i="10"/>
  <c r="F9" i="10"/>
  <c r="F32" i="10" s="1"/>
  <c r="E9" i="10"/>
  <c r="C9" i="10"/>
  <c r="W8" i="10"/>
  <c r="I8" i="10" s="1"/>
  <c r="G8" i="10"/>
  <c r="W7" i="10"/>
  <c r="I7" i="10" s="1"/>
  <c r="K7" i="10"/>
  <c r="G7" i="10"/>
  <c r="W6" i="10"/>
  <c r="I6" i="10" s="1"/>
  <c r="K6" i="10"/>
  <c r="G6" i="10"/>
  <c r="W5" i="10"/>
  <c r="I5" i="10" s="1"/>
  <c r="K5" i="10"/>
  <c r="G5" i="10"/>
  <c r="W4" i="10"/>
  <c r="I4" i="10" s="1"/>
  <c r="G4" i="10"/>
  <c r="E42" i="5"/>
  <c r="E43" i="5" s="1"/>
  <c r="E41" i="5"/>
  <c r="C36" i="5"/>
  <c r="K30" i="5"/>
  <c r="L29" i="5"/>
  <c r="F28" i="5"/>
  <c r="L27" i="5"/>
  <c r="G27" i="5"/>
  <c r="F27" i="5"/>
  <c r="E27" i="5"/>
  <c r="L26" i="5"/>
  <c r="L24" i="5"/>
  <c r="C24" i="5"/>
  <c r="L23" i="5"/>
  <c r="D23" i="5"/>
  <c r="N24" i="10" s="1"/>
  <c r="C23" i="5"/>
  <c r="N23" i="10" s="1"/>
  <c r="L21" i="5"/>
  <c r="G21" i="5"/>
  <c r="D21" i="5"/>
  <c r="D16" i="5"/>
  <c r="L15" i="5"/>
  <c r="J49" i="5" s="1"/>
  <c r="L14" i="5"/>
  <c r="J48" i="5" s="1"/>
  <c r="L13" i="5"/>
  <c r="E13" i="5"/>
  <c r="C19" i="5"/>
  <c r="O23" i="10" s="1"/>
  <c r="K10" i="5"/>
  <c r="C10" i="5"/>
  <c r="E23" i="10" s="1"/>
  <c r="G23" i="10" s="1"/>
  <c r="E8" i="5"/>
  <c r="E36" i="5" s="1"/>
  <c r="G5" i="5"/>
  <c r="F5" i="5"/>
  <c r="C29" i="8" s="1"/>
  <c r="E5" i="5"/>
  <c r="D5" i="5"/>
  <c r="C5" i="5"/>
  <c r="L54" i="22"/>
  <c r="Q54" i="22" s="1"/>
  <c r="L53" i="22"/>
  <c r="Q53" i="22" s="1"/>
  <c r="L52" i="22"/>
  <c r="Q52" i="22" s="1"/>
  <c r="K52" i="22"/>
  <c r="P52" i="22" s="1"/>
  <c r="L51" i="22"/>
  <c r="Q51" i="22" s="1"/>
  <c r="K51" i="22"/>
  <c r="P51" i="22" s="1"/>
  <c r="L50" i="22"/>
  <c r="Q50" i="22" s="1"/>
  <c r="F34" i="22"/>
  <c r="C34" i="22"/>
  <c r="H26" i="22"/>
  <c r="H25" i="22"/>
  <c r="E25" i="22"/>
  <c r="C25" i="22"/>
  <c r="H24" i="22"/>
  <c r="H22" i="22"/>
  <c r="C22" i="22"/>
  <c r="H15" i="22"/>
  <c r="N52" i="22" s="1"/>
  <c r="S52" i="22" s="1"/>
  <c r="H14" i="22"/>
  <c r="N51" i="22" s="1"/>
  <c r="S51" i="22" s="1"/>
  <c r="E10" i="22"/>
  <c r="H7" i="22"/>
  <c r="C5" i="22"/>
  <c r="C4" i="22" s="1"/>
  <c r="C3" i="22"/>
  <c r="F17" i="22"/>
  <c r="M53" i="22" s="1"/>
  <c r="R53" i="22" s="1"/>
  <c r="H19" i="22"/>
  <c r="F24" i="22"/>
  <c r="D6" i="4"/>
  <c r="D44" i="4"/>
  <c r="E44" i="4"/>
  <c r="H24" i="5"/>
  <c r="C36" i="21"/>
  <c r="H17" i="22"/>
  <c r="N53" i="22" s="1"/>
  <c r="S53" i="22" s="1"/>
  <c r="H13" i="22"/>
  <c r="N50" i="22" s="1"/>
  <c r="C37" i="21"/>
  <c r="C24" i="21"/>
  <c r="C39" i="21" s="1"/>
  <c r="J47" i="5"/>
  <c r="E16" i="5" l="1"/>
  <c r="E50" i="5" s="1"/>
  <c r="C52" i="5"/>
  <c r="F25" i="22"/>
  <c r="C14" i="5"/>
  <c r="C48" i="5" s="1"/>
  <c r="G24" i="5"/>
  <c r="W28" i="10"/>
  <c r="I28" i="10" s="1"/>
  <c r="I32" i="10" s="1"/>
  <c r="R32" i="10"/>
  <c r="P24" i="4"/>
  <c r="H54" i="13"/>
  <c r="F23" i="5" s="1"/>
  <c r="N26" i="10" s="1"/>
  <c r="J70" i="15"/>
  <c r="F13" i="22"/>
  <c r="M50" i="22" s="1"/>
  <c r="R50" i="22" s="1"/>
  <c r="D14" i="5"/>
  <c r="D48" i="5" s="1"/>
  <c r="F21" i="5"/>
  <c r="F53" i="5" s="1"/>
  <c r="F54" i="13"/>
  <c r="F19" i="5" s="1"/>
  <c r="F51" i="5" s="1"/>
  <c r="D27" i="19"/>
  <c r="D40" i="4"/>
  <c r="E40" i="4" s="1"/>
  <c r="E14" i="5"/>
  <c r="E48" i="5" s="1"/>
  <c r="E45" i="16"/>
  <c r="G6" i="7"/>
  <c r="C36" i="8"/>
  <c r="D36" i="8" s="1"/>
  <c r="H13" i="5"/>
  <c r="C7" i="8"/>
  <c r="E2" i="20"/>
  <c r="E26" i="20" s="1"/>
  <c r="E107" i="10"/>
  <c r="AY119" i="10" s="1"/>
  <c r="D45" i="4"/>
  <c r="E45" i="4" s="1"/>
  <c r="H23" i="5"/>
  <c r="N28" i="10" s="1"/>
  <c r="N45" i="16"/>
  <c r="H49" i="14"/>
  <c r="C19" i="8"/>
  <c r="F22" i="22"/>
  <c r="F22" i="27"/>
  <c r="H66" i="12"/>
  <c r="N7" i="12"/>
  <c r="N8" i="12" s="1"/>
  <c r="N9" i="12" s="1"/>
  <c r="N10" i="12" s="1"/>
  <c r="N11" i="12" s="1"/>
  <c r="N12" i="12" s="1"/>
  <c r="N13" i="12" s="1"/>
  <c r="N14" i="12" s="1"/>
  <c r="N15" i="12" s="1"/>
  <c r="N16" i="12" s="1"/>
  <c r="N17" i="12" s="1"/>
  <c r="N18" i="12" s="1"/>
  <c r="N19" i="12" s="1"/>
  <c r="N20" i="12" s="1"/>
  <c r="N21" i="12" s="1"/>
  <c r="N22" i="12" s="1"/>
  <c r="N23" i="12" s="1"/>
  <c r="N24" i="12" s="1"/>
  <c r="N25" i="12" s="1"/>
  <c r="N26" i="12" s="1"/>
  <c r="N27" i="12" s="1"/>
  <c r="N28" i="12" s="1"/>
  <c r="N29" i="12" s="1"/>
  <c r="N30" i="12" s="1"/>
  <c r="N31" i="12" s="1"/>
  <c r="N32" i="12" s="1"/>
  <c r="N33" i="12" s="1"/>
  <c r="N34" i="12" s="1"/>
  <c r="N35" i="12" s="1"/>
  <c r="N36" i="12" s="1"/>
  <c r="N37" i="12" s="1"/>
  <c r="N38" i="12" s="1"/>
  <c r="N39" i="12" s="1"/>
  <c r="N40" i="12" s="1"/>
  <c r="N41" i="12" s="1"/>
  <c r="N42" i="12" s="1"/>
  <c r="N43" i="12" s="1"/>
  <c r="N44" i="12" s="1"/>
  <c r="N45" i="12" s="1"/>
  <c r="N46" i="12" s="1"/>
  <c r="N47" i="12" s="1"/>
  <c r="N48" i="12" s="1"/>
  <c r="N49" i="12" s="1"/>
  <c r="N50" i="12" s="1"/>
  <c r="N51" i="12" s="1"/>
  <c r="N52" i="12" s="1"/>
  <c r="N53" i="12" s="1"/>
  <c r="N54" i="12" s="1"/>
  <c r="N55" i="12" s="1"/>
  <c r="N56" i="12" s="1"/>
  <c r="N57" i="12" s="1"/>
  <c r="N58" i="12" s="1"/>
  <c r="N59" i="12" s="1"/>
  <c r="N60" i="12" s="1"/>
  <c r="N61" i="12" s="1"/>
  <c r="N62" i="12" s="1"/>
  <c r="N63" i="12" s="1"/>
  <c r="N64" i="12" s="1"/>
  <c r="N65" i="12" s="1"/>
  <c r="N1" i="24" s="1"/>
  <c r="N6" i="24" s="1"/>
  <c r="N7" i="24" s="1"/>
  <c r="N8" i="24" s="1"/>
  <c r="N9" i="24" s="1"/>
  <c r="N10" i="24" s="1"/>
  <c r="N11" i="24" s="1"/>
  <c r="N12" i="24" s="1"/>
  <c r="N13" i="24" s="1"/>
  <c r="N14" i="24" s="1"/>
  <c r="N15" i="24" s="1"/>
  <c r="N16" i="24" s="1"/>
  <c r="N17" i="24" s="1"/>
  <c r="N18" i="24" s="1"/>
  <c r="N19" i="24" s="1"/>
  <c r="N20" i="24" s="1"/>
  <c r="N21" i="24" s="1"/>
  <c r="N22" i="24" s="1"/>
  <c r="N23" i="24" s="1"/>
  <c r="N24" i="24" s="1"/>
  <c r="N25" i="24" s="1"/>
  <c r="N26" i="24" s="1"/>
  <c r="N27" i="24" s="1"/>
  <c r="N28" i="24" s="1"/>
  <c r="F19" i="22"/>
  <c r="H21" i="5"/>
  <c r="C7" i="20"/>
  <c r="H26" i="5"/>
  <c r="J66" i="12"/>
  <c r="E66" i="12"/>
  <c r="E68" i="12" s="1"/>
  <c r="E70" i="12" s="1"/>
  <c r="L54" i="27"/>
  <c r="R54" i="27" s="1"/>
  <c r="I45" i="16"/>
  <c r="C35" i="9"/>
  <c r="D35" i="9" s="1"/>
  <c r="D27" i="8"/>
  <c r="E105" i="10" s="1"/>
  <c r="AA117" i="10" s="1"/>
  <c r="C7" i="19"/>
  <c r="D43" i="4"/>
  <c r="E43" i="4" s="1"/>
  <c r="F17" i="27"/>
  <c r="C15" i="5"/>
  <c r="C49" i="5" s="1"/>
  <c r="D17" i="5"/>
  <c r="D50" i="5" s="1"/>
  <c r="E104" i="10"/>
  <c r="O116" i="10" s="1"/>
  <c r="P9" i="14"/>
  <c r="P10" i="14" s="1"/>
  <c r="P11" i="14" s="1"/>
  <c r="P12" i="14" s="1"/>
  <c r="P13" i="14" s="1"/>
  <c r="P14" i="14" s="1"/>
  <c r="P15" i="14" s="1"/>
  <c r="P16" i="14" s="1"/>
  <c r="P17" i="14" s="1"/>
  <c r="P18" i="14" s="1"/>
  <c r="P19" i="14" s="1"/>
  <c r="P20" i="14" s="1"/>
  <c r="P21" i="14" s="1"/>
  <c r="P22" i="14" s="1"/>
  <c r="P23" i="14" s="1"/>
  <c r="P24" i="14" s="1"/>
  <c r="P25" i="14" s="1"/>
  <c r="P26" i="14" s="1"/>
  <c r="P27" i="14" s="1"/>
  <c r="P28" i="14" s="1"/>
  <c r="P29" i="14" s="1"/>
  <c r="P30" i="14" s="1"/>
  <c r="P31" i="14" s="1"/>
  <c r="P32" i="14" s="1"/>
  <c r="P33" i="14" s="1"/>
  <c r="P34" i="14" s="1"/>
  <c r="P35" i="14" s="1"/>
  <c r="P36" i="14" s="1"/>
  <c r="P37" i="14" s="1"/>
  <c r="P38" i="14" s="1"/>
  <c r="P39" i="14" s="1"/>
  <c r="P40" i="14" s="1"/>
  <c r="P41" i="14" s="1"/>
  <c r="P42" i="14" s="1"/>
  <c r="P43" i="14" s="1"/>
  <c r="P44" i="14" s="1"/>
  <c r="P45" i="14" s="1"/>
  <c r="P46" i="14" s="1"/>
  <c r="P47" i="14" s="1"/>
  <c r="P48" i="14" s="1"/>
  <c r="N48" i="13"/>
  <c r="N49" i="13" s="1"/>
  <c r="N50" i="13" s="1"/>
  <c r="N51" i="13" s="1"/>
  <c r="N52" i="13" s="1"/>
  <c r="N53" i="13" s="1"/>
  <c r="C29" i="19" s="1"/>
  <c r="L50" i="27"/>
  <c r="H27" i="5"/>
  <c r="D23" i="23"/>
  <c r="D24" i="23" s="1"/>
  <c r="D25" i="23" s="1"/>
  <c r="D26" i="23" s="1"/>
  <c r="D27" i="23" s="1"/>
  <c r="D28" i="23" s="1"/>
  <c r="D29" i="23" s="1"/>
  <c r="D30" i="23" s="1"/>
  <c r="D31" i="23" s="1"/>
  <c r="D32" i="23" s="1"/>
  <c r="D33" i="23" s="1"/>
  <c r="D34" i="23" s="1"/>
  <c r="D35" i="23" s="1"/>
  <c r="D36" i="23" s="1"/>
  <c r="D37" i="23" s="1"/>
  <c r="D38" i="23" s="1"/>
  <c r="D39" i="23" s="1"/>
  <c r="D40" i="23" s="1"/>
  <c r="D41" i="23" s="1"/>
  <c r="D42" i="23" s="1"/>
  <c r="D43" i="23" s="1"/>
  <c r="D44" i="23" s="1"/>
  <c r="D45" i="23" s="1"/>
  <c r="D46" i="23" s="1"/>
  <c r="D47" i="23" s="1"/>
  <c r="D48" i="23" s="1"/>
  <c r="L48" i="23" s="1"/>
  <c r="C17" i="22"/>
  <c r="K53" i="22" s="1"/>
  <c r="P53" i="22" s="1"/>
  <c r="C17" i="27"/>
  <c r="K53" i="27" s="1"/>
  <c r="Q53" i="27" s="1"/>
  <c r="I49" i="14"/>
  <c r="L54" i="13"/>
  <c r="F10" i="27"/>
  <c r="F35" i="27"/>
  <c r="N24" i="4"/>
  <c r="I70" i="15"/>
  <c r="F26" i="22"/>
  <c r="F26" i="27"/>
  <c r="L55" i="27" s="1"/>
  <c r="R55" i="27" s="1"/>
  <c r="F21" i="22"/>
  <c r="M54" i="22" s="1"/>
  <c r="R54" i="22" s="1"/>
  <c r="E21" i="5"/>
  <c r="N49" i="14"/>
  <c r="E70" i="15"/>
  <c r="E72" i="15" s="1"/>
  <c r="E74" i="15" s="1"/>
  <c r="D56" i="11"/>
  <c r="C34" i="20"/>
  <c r="D34" i="20" s="1"/>
  <c r="C26" i="4"/>
  <c r="D42" i="4"/>
  <c r="E42" i="4" s="1"/>
  <c r="F15" i="27"/>
  <c r="H20" i="10"/>
  <c r="J20" i="10" s="1"/>
  <c r="W32" i="10"/>
  <c r="H18" i="10"/>
  <c r="J18" i="10" s="1"/>
  <c r="H8" i="10"/>
  <c r="J8" i="10" s="1"/>
  <c r="G9" i="10"/>
  <c r="H15" i="10"/>
  <c r="J15" i="10" s="1"/>
  <c r="H10" i="10"/>
  <c r="P10" i="10" s="1"/>
  <c r="H6" i="10"/>
  <c r="J6" i="10" s="1"/>
  <c r="H11" i="10"/>
  <c r="H7" i="10"/>
  <c r="P7" i="10" s="1"/>
  <c r="H19" i="10"/>
  <c r="J19" i="10" s="1"/>
  <c r="H13" i="10"/>
  <c r="P13" i="10" s="1"/>
  <c r="H12" i="10"/>
  <c r="P12" i="10" s="1"/>
  <c r="H14" i="10"/>
  <c r="P14" i="10" s="1"/>
  <c r="H5" i="10"/>
  <c r="J5" i="10" s="1"/>
  <c r="H16" i="10"/>
  <c r="P16" i="10" s="1"/>
  <c r="F43" i="5"/>
  <c r="E10" i="5"/>
  <c r="E53" i="5"/>
  <c r="O27" i="10"/>
  <c r="C51" i="5"/>
  <c r="H47" i="5"/>
  <c r="O26" i="10"/>
  <c r="K32" i="5"/>
  <c r="P1" i="15"/>
  <c r="Q1" i="15" s="1"/>
  <c r="P1" i="14"/>
  <c r="Q1" i="14" s="1"/>
  <c r="P22" i="10"/>
  <c r="J22" i="10"/>
  <c r="G53" i="5"/>
  <c r="G54" i="13"/>
  <c r="F13" i="5" s="1"/>
  <c r="M26" i="10" s="1"/>
  <c r="N6" i="13"/>
  <c r="N7" i="13" s="1"/>
  <c r="N8" i="13" s="1"/>
  <c r="N9" i="13" s="1"/>
  <c r="N10" i="13" s="1"/>
  <c r="N11" i="13" s="1"/>
  <c r="N12" i="13" s="1"/>
  <c r="N13" i="13" s="1"/>
  <c r="N14" i="13" s="1"/>
  <c r="N15" i="13" s="1"/>
  <c r="N16" i="13" s="1"/>
  <c r="N17" i="13" s="1"/>
  <c r="N18" i="13" s="1"/>
  <c r="N19" i="13" s="1"/>
  <c r="N20" i="13" s="1"/>
  <c r="N21" i="13" s="1"/>
  <c r="N22" i="13" s="1"/>
  <c r="N23" i="13" s="1"/>
  <c r="N24" i="13" s="1"/>
  <c r="N25" i="13" s="1"/>
  <c r="H4" i="10"/>
  <c r="H45" i="16"/>
  <c r="M24" i="7"/>
  <c r="C21" i="7"/>
  <c r="D27" i="5" s="1"/>
  <c r="D53" i="5" s="1"/>
  <c r="H70" i="15"/>
  <c r="G104" i="10"/>
  <c r="Q116" i="10" s="1"/>
  <c r="G2" i="7"/>
  <c r="G26" i="7" s="1"/>
  <c r="C33" i="20"/>
  <c r="D33" i="20" s="1"/>
  <c r="C24" i="20"/>
  <c r="C26" i="20" s="1"/>
  <c r="D30" i="20"/>
  <c r="G70" i="15"/>
  <c r="E2" i="19"/>
  <c r="E27" i="19" s="1"/>
  <c r="E106" i="10"/>
  <c r="AM118" i="10" s="1"/>
  <c r="F2" i="20"/>
  <c r="F26" i="20" s="1"/>
  <c r="F107" i="10"/>
  <c r="AZ119" i="10" s="1"/>
  <c r="E47" i="16"/>
  <c r="E49" i="16" s="1"/>
  <c r="E51" i="14"/>
  <c r="E53" i="14" s="1"/>
  <c r="D8" i="5"/>
  <c r="E27" i="22"/>
  <c r="E29" i="22" s="1"/>
  <c r="L58" i="22" s="1"/>
  <c r="L55" i="22"/>
  <c r="Q55" i="22" s="1"/>
  <c r="E25" i="10"/>
  <c r="G25" i="10" s="1"/>
  <c r="F104" i="10"/>
  <c r="P116" i="10" s="1"/>
  <c r="J45" i="16"/>
  <c r="H8" i="5"/>
  <c r="F8" i="22"/>
  <c r="D10" i="4"/>
  <c r="F14" i="27" s="1"/>
  <c r="L51" i="27" s="1"/>
  <c r="R51" i="27" s="1"/>
  <c r="I12" i="23"/>
  <c r="H51" i="5"/>
  <c r="C35" i="8"/>
  <c r="D35" i="8" s="1"/>
  <c r="E24" i="5"/>
  <c r="E52" i="5" s="1"/>
  <c r="C49" i="23"/>
  <c r="K48" i="23"/>
  <c r="C25" i="19"/>
  <c r="C27" i="19" s="1"/>
  <c r="C28" i="19" s="1"/>
  <c r="W9" i="10"/>
  <c r="I9" i="10" s="1"/>
  <c r="H9" i="10" s="1"/>
  <c r="W17" i="10"/>
  <c r="I17" i="10" s="1"/>
  <c r="H17" i="10" s="1"/>
  <c r="J21" i="10"/>
  <c r="C25" i="8"/>
  <c r="C34" i="8"/>
  <c r="D34" i="8" s="1"/>
  <c r="E19" i="5"/>
  <c r="E47" i="5"/>
  <c r="C35" i="7"/>
  <c r="D35" i="7" s="1"/>
  <c r="D31" i="8"/>
  <c r="E54" i="13"/>
  <c r="F49" i="14"/>
  <c r="D9" i="5" s="1"/>
  <c r="C33" i="7"/>
  <c r="D33" i="7" s="1"/>
  <c r="C24" i="7"/>
  <c r="C26" i="7" s="1"/>
  <c r="P51" i="14" s="1"/>
  <c r="P52" i="14" s="1"/>
  <c r="D19" i="5"/>
  <c r="M1" i="11"/>
  <c r="N1" i="11" s="1"/>
  <c r="G8" i="23"/>
  <c r="F9" i="23"/>
  <c r="D26" i="9"/>
  <c r="C11" i="9"/>
  <c r="J49" i="14"/>
  <c r="C27" i="8"/>
  <c r="I56" i="11"/>
  <c r="G56" i="11"/>
  <c r="C21" i="27" s="1"/>
  <c r="K54" i="27" s="1"/>
  <c r="Q54" i="27" s="1"/>
  <c r="C5" i="9"/>
  <c r="C6" i="9" s="1"/>
  <c r="D31" i="19"/>
  <c r="C37" i="19"/>
  <c r="D37" i="19" s="1"/>
  <c r="F56" i="11"/>
  <c r="C13" i="27" s="1"/>
  <c r="K50" i="27" s="1"/>
  <c r="J8" i="23"/>
  <c r="J9" i="23" s="1"/>
  <c r="J10" i="23" s="1"/>
  <c r="J11" i="23" s="1"/>
  <c r="L66" i="12"/>
  <c r="C11" i="7"/>
  <c r="F66" i="12"/>
  <c r="C18" i="7"/>
  <c r="D24" i="5" s="1"/>
  <c r="D52" i="5" s="1"/>
  <c r="M8" i="11"/>
  <c r="M9" i="11" s="1"/>
  <c r="M10" i="11" s="1"/>
  <c r="M11" i="11" s="1"/>
  <c r="M12" i="11" s="1"/>
  <c r="M13" i="11" s="1"/>
  <c r="M14" i="11" s="1"/>
  <c r="M15" i="11" s="1"/>
  <c r="M16" i="11" s="1"/>
  <c r="M17" i="11" s="1"/>
  <c r="M18" i="11" s="1"/>
  <c r="M19" i="11" s="1"/>
  <c r="M20" i="11" s="1"/>
  <c r="M21" i="11" s="1"/>
  <c r="M22" i="11" s="1"/>
  <c r="M23" i="11" s="1"/>
  <c r="M24" i="11" s="1"/>
  <c r="M25" i="11" s="1"/>
  <c r="M26" i="11" s="1"/>
  <c r="M27" i="11" s="1"/>
  <c r="M28" i="11" s="1"/>
  <c r="M29" i="11" s="1"/>
  <c r="M30" i="11" s="1"/>
  <c r="M31" i="11" s="1"/>
  <c r="M32" i="11" s="1"/>
  <c r="M33" i="11" s="1"/>
  <c r="M34" i="11" s="1"/>
  <c r="M35" i="11" s="1"/>
  <c r="M36" i="11" s="1"/>
  <c r="M37" i="11" s="1"/>
  <c r="M38" i="11" s="1"/>
  <c r="M39" i="11" s="1"/>
  <c r="M40" i="11" s="1"/>
  <c r="M41" i="11" s="1"/>
  <c r="M42" i="11" s="1"/>
  <c r="M43" i="11" s="1"/>
  <c r="M44" i="11" s="1"/>
  <c r="M45" i="11" s="1"/>
  <c r="M46" i="11" s="1"/>
  <c r="M47" i="11" s="1"/>
  <c r="M48" i="11" s="1"/>
  <c r="M49" i="11" s="1"/>
  <c r="M50" i="11" s="1"/>
  <c r="M51" i="11" s="1"/>
  <c r="M52" i="11" s="1"/>
  <c r="M53" i="11" s="1"/>
  <c r="M54" i="11" s="1"/>
  <c r="M55" i="11" s="1"/>
  <c r="K70" i="15"/>
  <c r="I54" i="13"/>
  <c r="F24" i="5" s="1"/>
  <c r="F52" i="5" s="1"/>
  <c r="G66" i="12"/>
  <c r="P6" i="15"/>
  <c r="P7" i="15" s="1"/>
  <c r="P8" i="15" s="1"/>
  <c r="P9" i="15" s="1"/>
  <c r="P10" i="15" s="1"/>
  <c r="P11" i="15" s="1"/>
  <c r="P12" i="15" s="1"/>
  <c r="P13" i="15" s="1"/>
  <c r="P14" i="15" s="1"/>
  <c r="P15" i="15" s="1"/>
  <c r="P16" i="15" s="1"/>
  <c r="P17" i="15" s="1"/>
  <c r="P18" i="15" s="1"/>
  <c r="P19" i="15" s="1"/>
  <c r="P20" i="15" s="1"/>
  <c r="P21" i="15" s="1"/>
  <c r="P22" i="15" s="1"/>
  <c r="P23" i="15" s="1"/>
  <c r="P24" i="15" s="1"/>
  <c r="P25" i="15" s="1"/>
  <c r="P26" i="15" s="1"/>
  <c r="P27" i="15" s="1"/>
  <c r="P28" i="15" s="1"/>
  <c r="P29" i="15" s="1"/>
  <c r="P30" i="15" s="1"/>
  <c r="P31" i="15" s="1"/>
  <c r="P32" i="15" s="1"/>
  <c r="P33" i="15" s="1"/>
  <c r="P34" i="15" s="1"/>
  <c r="P35" i="15" s="1"/>
  <c r="P36" i="15" s="1"/>
  <c r="P37" i="15" s="1"/>
  <c r="P38" i="15" s="1"/>
  <c r="P39" i="15" s="1"/>
  <c r="P40" i="15" s="1"/>
  <c r="P41" i="15" s="1"/>
  <c r="P42" i="15" s="1"/>
  <c r="P43" i="15" s="1"/>
  <c r="P44" i="15" s="1"/>
  <c r="P45" i="15" s="1"/>
  <c r="P46" i="15" s="1"/>
  <c r="P47" i="15" s="1"/>
  <c r="P48" i="15" s="1"/>
  <c r="P49" i="15" s="1"/>
  <c r="P50" i="15" s="1"/>
  <c r="P51" i="15" s="1"/>
  <c r="P52" i="15" s="1"/>
  <c r="P53" i="15" s="1"/>
  <c r="P54" i="15" s="1"/>
  <c r="P55" i="15" s="1"/>
  <c r="P56" i="15" s="1"/>
  <c r="P57" i="15" s="1"/>
  <c r="P58" i="15" s="1"/>
  <c r="P59" i="15" s="1"/>
  <c r="P60" i="15" s="1"/>
  <c r="P61" i="15" s="1"/>
  <c r="P62" i="15" s="1"/>
  <c r="P63" i="15" s="1"/>
  <c r="P64" i="15" s="1"/>
  <c r="P65" i="15" s="1"/>
  <c r="P66" i="15" s="1"/>
  <c r="P67" i="15" s="1"/>
  <c r="P68" i="15" s="1"/>
  <c r="P69" i="15" s="1"/>
  <c r="J53" i="5"/>
  <c r="J51" i="5"/>
  <c r="N54" i="22"/>
  <c r="S54" i="22" s="1"/>
  <c r="J52" i="5"/>
  <c r="F6" i="21"/>
  <c r="D5" i="21"/>
  <c r="C40" i="21"/>
  <c r="N55" i="22"/>
  <c r="S55" i="22" s="1"/>
  <c r="S50" i="22"/>
  <c r="L8" i="5"/>
  <c r="H8" i="22"/>
  <c r="H10" i="22" s="1"/>
  <c r="H6" i="21"/>
  <c r="L30" i="5"/>
  <c r="H27" i="22"/>
  <c r="F15" i="22"/>
  <c r="H15" i="5"/>
  <c r="H52" i="5" l="1"/>
  <c r="C37" i="8"/>
  <c r="D37" i="8" s="1"/>
  <c r="M25" i="10"/>
  <c r="D6" i="21"/>
  <c r="P20" i="10"/>
  <c r="P18" i="10"/>
  <c r="H53" i="5"/>
  <c r="C19" i="22"/>
  <c r="K55" i="22" s="1"/>
  <c r="P55" i="22" s="1"/>
  <c r="C19" i="27"/>
  <c r="K55" i="27" s="1"/>
  <c r="Q55" i="27" s="1"/>
  <c r="O49" i="14"/>
  <c r="O50" i="14" s="1"/>
  <c r="O51" i="14" s="1"/>
  <c r="M55" i="22"/>
  <c r="R55" i="22" s="1"/>
  <c r="G8" i="5"/>
  <c r="C8" i="27"/>
  <c r="C8" i="22"/>
  <c r="D39" i="21"/>
  <c r="L8" i="27"/>
  <c r="L10" i="27" s="1"/>
  <c r="L8" i="22"/>
  <c r="L10" i="22" s="1"/>
  <c r="I8" i="5"/>
  <c r="O70" i="15"/>
  <c r="O71" i="15" s="1"/>
  <c r="O72" i="15" s="1"/>
  <c r="F27" i="27"/>
  <c r="S53" i="27"/>
  <c r="L53" i="27"/>
  <c r="R53" i="27" s="1"/>
  <c r="Q50" i="27"/>
  <c r="D24" i="4"/>
  <c r="N56" i="22"/>
  <c r="S56" i="22" s="1"/>
  <c r="L8" i="23"/>
  <c r="D58" i="11"/>
  <c r="D60" i="11" s="1"/>
  <c r="R50" i="27"/>
  <c r="E2" i="8"/>
  <c r="E27" i="8" s="1"/>
  <c r="F2" i="8" s="1"/>
  <c r="F27" i="8" s="1"/>
  <c r="C36" i="20"/>
  <c r="D36" i="20" s="1"/>
  <c r="O45" i="16"/>
  <c r="O46" i="16" s="1"/>
  <c r="O47" i="16" s="1"/>
  <c r="P8" i="10"/>
  <c r="S52" i="27"/>
  <c r="L52" i="27"/>
  <c r="R52" i="27" s="1"/>
  <c r="P15" i="10"/>
  <c r="J14" i="10"/>
  <c r="J10" i="10"/>
  <c r="J12" i="10"/>
  <c r="J13" i="10"/>
  <c r="P6" i="10"/>
  <c r="J16" i="10"/>
  <c r="J7" i="10"/>
  <c r="P5" i="10"/>
  <c r="P11" i="10"/>
  <c r="J11" i="10"/>
  <c r="P19" i="10"/>
  <c r="N1" i="13"/>
  <c r="O1" i="13" s="1"/>
  <c r="F30" i="5"/>
  <c r="F47" i="5"/>
  <c r="F54" i="5" s="1"/>
  <c r="P72" i="15"/>
  <c r="P73" i="15" s="1"/>
  <c r="C28" i="8"/>
  <c r="F105" i="10"/>
  <c r="AB117" i="10" s="1"/>
  <c r="P9" i="10"/>
  <c r="J9" i="10"/>
  <c r="D36" i="5"/>
  <c r="D10" i="5"/>
  <c r="C27" i="20"/>
  <c r="O25" i="10"/>
  <c r="E51" i="5"/>
  <c r="E54" i="5" s="1"/>
  <c r="E30" i="5"/>
  <c r="E32" i="5" s="1"/>
  <c r="C50" i="23"/>
  <c r="K49" i="23"/>
  <c r="F2" i="19"/>
  <c r="F27" i="19" s="1"/>
  <c r="F106" i="10"/>
  <c r="AN118" i="10" s="1"/>
  <c r="D49" i="23"/>
  <c r="P17" i="10"/>
  <c r="J17" i="10"/>
  <c r="C30" i="7"/>
  <c r="D13" i="5"/>
  <c r="M24" i="10" s="1"/>
  <c r="H10" i="5"/>
  <c r="H36" i="5"/>
  <c r="M66" i="12"/>
  <c r="M67" i="12" s="1"/>
  <c r="M68" i="12" s="1"/>
  <c r="N29" i="24"/>
  <c r="N30" i="24" s="1"/>
  <c r="N31" i="24" s="1"/>
  <c r="N32" i="24" s="1"/>
  <c r="N33" i="24" s="1"/>
  <c r="N34" i="24" s="1"/>
  <c r="N35" i="24" s="1"/>
  <c r="N36" i="24" s="1"/>
  <c r="N37" i="24" s="1"/>
  <c r="N38" i="24" s="1"/>
  <c r="N39" i="24" s="1"/>
  <c r="C13" i="22"/>
  <c r="G13" i="5"/>
  <c r="M27" i="10" s="1"/>
  <c r="C24" i="9"/>
  <c r="C26" i="9" s="1"/>
  <c r="P47" i="16" s="1"/>
  <c r="P48" i="16" s="1"/>
  <c r="C30" i="9"/>
  <c r="C13" i="5"/>
  <c r="M23" i="10" s="1"/>
  <c r="E56" i="13"/>
  <c r="E58" i="13" s="1"/>
  <c r="M54" i="13"/>
  <c r="M55" i="13" s="1"/>
  <c r="M56" i="13" s="1"/>
  <c r="F8" i="5"/>
  <c r="L56" i="11"/>
  <c r="L57" i="11" s="1"/>
  <c r="L58" i="11" s="1"/>
  <c r="H2" i="7"/>
  <c r="H26" i="7" s="1"/>
  <c r="H104" i="10"/>
  <c r="R116" i="10" s="1"/>
  <c r="P4" i="10"/>
  <c r="J4" i="10"/>
  <c r="N1" i="12"/>
  <c r="O1" i="12" s="1"/>
  <c r="C28" i="20"/>
  <c r="D2" i="4"/>
  <c r="F5" i="27" s="1"/>
  <c r="E2" i="9"/>
  <c r="E26" i="9" s="1"/>
  <c r="E103" i="10"/>
  <c r="C115" i="10" s="1"/>
  <c r="C34" i="7"/>
  <c r="D34" i="7" s="1"/>
  <c r="I13" i="23"/>
  <c r="J12" i="23"/>
  <c r="L56" i="22"/>
  <c r="Q56" i="22" s="1"/>
  <c r="G2" i="20"/>
  <c r="G26" i="20" s="1"/>
  <c r="G107" i="10"/>
  <c r="BA119" i="10" s="1"/>
  <c r="G23" i="5"/>
  <c r="C21" i="22"/>
  <c r="K54" i="22" s="1"/>
  <c r="P54" i="22" s="1"/>
  <c r="F35" i="22"/>
  <c r="F10" i="22"/>
  <c r="K9" i="23"/>
  <c r="G9" i="23"/>
  <c r="L9" i="23" s="1"/>
  <c r="F10" i="23"/>
  <c r="O24" i="10"/>
  <c r="O32" i="10" s="1"/>
  <c r="D51" i="5"/>
  <c r="F14" i="22"/>
  <c r="M51" i="22" s="1"/>
  <c r="R51" i="22" s="1"/>
  <c r="H14" i="5"/>
  <c r="D41" i="4"/>
  <c r="N26" i="13"/>
  <c r="N27" i="13" s="1"/>
  <c r="N28" i="13" s="1"/>
  <c r="N29" i="13" s="1"/>
  <c r="N30" i="13" s="1"/>
  <c r="N31" i="13" s="1"/>
  <c r="N32" i="13" s="1"/>
  <c r="N33" i="13" s="1"/>
  <c r="N34" i="13" s="1"/>
  <c r="N35" i="13" s="1"/>
  <c r="N36" i="13" s="1"/>
  <c r="N37" i="13" s="1"/>
  <c r="N38" i="13" s="1"/>
  <c r="N39" i="13" s="1"/>
  <c r="N40" i="13" s="1"/>
  <c r="N41" i="13" s="1"/>
  <c r="N42" i="13" s="1"/>
  <c r="N43" i="13" s="1"/>
  <c r="P25" i="13"/>
  <c r="J54" i="5"/>
  <c r="L10" i="5"/>
  <c r="M52" i="22"/>
  <c r="H49" i="5"/>
  <c r="H30" i="5"/>
  <c r="K56" i="27" l="1"/>
  <c r="Q56" i="27" s="1"/>
  <c r="L56" i="27"/>
  <c r="R56" i="27" s="1"/>
  <c r="C27" i="27"/>
  <c r="C35" i="22"/>
  <c r="C10" i="22"/>
  <c r="D26" i="4"/>
  <c r="C10" i="27"/>
  <c r="C29" i="27" s="1"/>
  <c r="C35" i="27"/>
  <c r="H48" i="5"/>
  <c r="M28" i="10"/>
  <c r="M32" i="10" s="1"/>
  <c r="E28" i="10"/>
  <c r="G28" i="10" s="1"/>
  <c r="F29" i="27"/>
  <c r="G10" i="5"/>
  <c r="E27" i="10" s="1"/>
  <c r="G27" i="10" s="1"/>
  <c r="G36" i="5"/>
  <c r="E29" i="10"/>
  <c r="G29" i="10" s="1"/>
  <c r="I10" i="5"/>
  <c r="H54" i="5"/>
  <c r="E39" i="21"/>
  <c r="D40" i="21"/>
  <c r="E40" i="21" s="1"/>
  <c r="N40" i="24"/>
  <c r="N41" i="24" s="1"/>
  <c r="N42" i="24" s="1"/>
  <c r="N43" i="24" s="1"/>
  <c r="N44" i="24" s="1"/>
  <c r="N45" i="24" s="1"/>
  <c r="N46" i="24" s="1"/>
  <c r="N47" i="24" s="1"/>
  <c r="N48" i="24" s="1"/>
  <c r="N49" i="24" s="1"/>
  <c r="N50" i="24" s="1"/>
  <c r="N51" i="24" s="1"/>
  <c r="N52" i="24" s="1"/>
  <c r="J13" i="23"/>
  <c r="I14" i="23"/>
  <c r="E24" i="10"/>
  <c r="C36" i="9"/>
  <c r="D36" i="9" s="1"/>
  <c r="D30" i="9"/>
  <c r="G2" i="19"/>
  <c r="G27" i="19" s="1"/>
  <c r="G106" i="10"/>
  <c r="AO118" i="10" s="1"/>
  <c r="C47" i="5"/>
  <c r="C54" i="5" s="1"/>
  <c r="C30" i="5"/>
  <c r="C32" i="5" s="1"/>
  <c r="N27" i="10"/>
  <c r="N32" i="10" s="1"/>
  <c r="G52" i="5"/>
  <c r="F11" i="23"/>
  <c r="K10" i="23"/>
  <c r="G10" i="23"/>
  <c r="L10" i="23" s="1"/>
  <c r="F2" i="9"/>
  <c r="F26" i="9" s="1"/>
  <c r="F103" i="10"/>
  <c r="D115" i="10" s="1"/>
  <c r="D30" i="5"/>
  <c r="D32" i="5" s="1"/>
  <c r="D47" i="5"/>
  <c r="D54" i="5" s="1"/>
  <c r="F5" i="22"/>
  <c r="E2" i="4"/>
  <c r="E26" i="4" s="1"/>
  <c r="H5" i="5"/>
  <c r="I2" i="7"/>
  <c r="I26" i="7" s="1"/>
  <c r="I104" i="10"/>
  <c r="S116" i="10" s="1"/>
  <c r="G30" i="5"/>
  <c r="G47" i="5"/>
  <c r="G54" i="5" s="1"/>
  <c r="D30" i="7"/>
  <c r="C36" i="7"/>
  <c r="D36" i="7" s="1"/>
  <c r="C51" i="23"/>
  <c r="K50" i="23"/>
  <c r="D50" i="23"/>
  <c r="L49" i="23"/>
  <c r="N44" i="13"/>
  <c r="P43" i="13"/>
  <c r="H2" i="20"/>
  <c r="H26" i="20" s="1"/>
  <c r="H107" i="10"/>
  <c r="BB119" i="10" s="1"/>
  <c r="C27" i="22"/>
  <c r="K50" i="22"/>
  <c r="F3" i="5"/>
  <c r="F4" i="5" s="1"/>
  <c r="K25" i="10"/>
  <c r="H32" i="5"/>
  <c r="F27" i="22"/>
  <c r="F29" i="22" s="1"/>
  <c r="F31" i="22" s="1"/>
  <c r="E41" i="4"/>
  <c r="D46" i="4"/>
  <c r="E46" i="4" s="1"/>
  <c r="F36" i="5"/>
  <c r="F10" i="5"/>
  <c r="G2" i="8"/>
  <c r="G27" i="8" s="1"/>
  <c r="G105" i="10"/>
  <c r="AC117" i="10" s="1"/>
  <c r="L32" i="5"/>
  <c r="R52" i="22"/>
  <c r="M56" i="22"/>
  <c r="R56" i="22" s="1"/>
  <c r="G32" i="5" l="1"/>
  <c r="K36" i="5"/>
  <c r="K37" i="5" s="1"/>
  <c r="C29" i="22"/>
  <c r="G24" i="10"/>
  <c r="E32" i="10"/>
  <c r="E3" i="27"/>
  <c r="E4" i="27" s="1"/>
  <c r="K58" i="27"/>
  <c r="F3" i="27"/>
  <c r="F4" i="27" s="1"/>
  <c r="D27" i="4"/>
  <c r="M26" i="23"/>
  <c r="C2" i="21"/>
  <c r="D2" i="21" s="1"/>
  <c r="I3" i="5"/>
  <c r="K28" i="10"/>
  <c r="L58" i="27"/>
  <c r="H5" i="27"/>
  <c r="H29" i="27" s="1"/>
  <c r="F31" i="27"/>
  <c r="K24" i="10"/>
  <c r="H25" i="10" s="1"/>
  <c r="E3" i="5"/>
  <c r="E4" i="5" s="1"/>
  <c r="N53" i="24"/>
  <c r="N54" i="24" s="1"/>
  <c r="N55" i="24" s="1"/>
  <c r="N56" i="24" s="1"/>
  <c r="N57" i="24" s="1"/>
  <c r="N58" i="24" s="1"/>
  <c r="N59" i="24" s="1"/>
  <c r="N60" i="24" s="1"/>
  <c r="N61" i="24" s="1"/>
  <c r="N62" i="24" s="1"/>
  <c r="N63" i="24" s="1"/>
  <c r="N64" i="24" s="1"/>
  <c r="N65" i="24" s="1"/>
  <c r="N66" i="24" s="1"/>
  <c r="N67" i="24" s="1"/>
  <c r="N68" i="24" s="1"/>
  <c r="N1" i="26" s="1"/>
  <c r="N6" i="26" s="1"/>
  <c r="N7" i="26" s="1"/>
  <c r="N8" i="26" s="1"/>
  <c r="N9" i="26" s="1"/>
  <c r="N10" i="26" s="1"/>
  <c r="N11" i="26" s="1"/>
  <c r="N12" i="26" s="1"/>
  <c r="N13" i="26" s="1"/>
  <c r="N14" i="26" s="1"/>
  <c r="N15" i="26" s="1"/>
  <c r="N16" i="26" s="1"/>
  <c r="N17" i="26" s="1"/>
  <c r="N18" i="26" s="1"/>
  <c r="H33" i="5"/>
  <c r="M58" i="22"/>
  <c r="H2" i="8"/>
  <c r="H27" i="8" s="1"/>
  <c r="H105" i="10"/>
  <c r="AD117" i="10" s="1"/>
  <c r="L50" i="23"/>
  <c r="D51" i="23"/>
  <c r="H5" i="22"/>
  <c r="H29" i="22" s="1"/>
  <c r="N58" i="22" s="1"/>
  <c r="E26" i="10"/>
  <c r="F32" i="5"/>
  <c r="K56" i="22"/>
  <c r="P56" i="22" s="1"/>
  <c r="P50" i="22"/>
  <c r="J2" i="7"/>
  <c r="J26" i="7" s="1"/>
  <c r="J104" i="10"/>
  <c r="T116" i="10" s="1"/>
  <c r="G2" i="9"/>
  <c r="G26" i="9" s="1"/>
  <c r="G103" i="10"/>
  <c r="E115" i="10" s="1"/>
  <c r="J14" i="23"/>
  <c r="I15" i="23"/>
  <c r="D3" i="5"/>
  <c r="D4" i="5" s="1"/>
  <c r="K23" i="10"/>
  <c r="H23" i="10" s="1"/>
  <c r="J5" i="5"/>
  <c r="J32" i="5" s="1"/>
  <c r="K3" i="5"/>
  <c r="K4" i="5" s="1"/>
  <c r="K27" i="10"/>
  <c r="H3" i="5"/>
  <c r="H4" i="5" s="1"/>
  <c r="E3" i="22"/>
  <c r="E4" i="22" s="1"/>
  <c r="K58" i="22"/>
  <c r="F3" i="22"/>
  <c r="F4" i="22" s="1"/>
  <c r="K51" i="23"/>
  <c r="C52" i="23"/>
  <c r="K52" i="23" s="1"/>
  <c r="F2" i="4"/>
  <c r="F26" i="4" s="1"/>
  <c r="E108" i="10"/>
  <c r="BK120" i="10" s="1"/>
  <c r="I2" i="20"/>
  <c r="I26" i="20" s="1"/>
  <c r="I107" i="10"/>
  <c r="BC119" i="10" s="1"/>
  <c r="F12" i="23"/>
  <c r="K11" i="23"/>
  <c r="G11" i="23"/>
  <c r="L11" i="23" s="1"/>
  <c r="H2" i="19"/>
  <c r="H27" i="19" s="1"/>
  <c r="H106" i="10"/>
  <c r="AP118" i="10" s="1"/>
  <c r="E2" i="21" l="1"/>
  <c r="E26" i="21" s="1"/>
  <c r="D26" i="21"/>
  <c r="L5" i="27"/>
  <c r="L29" i="27" s="1"/>
  <c r="I5" i="5"/>
  <c r="L5" i="22"/>
  <c r="L29" i="22" s="1"/>
  <c r="H28" i="10"/>
  <c r="J28" i="10" s="1"/>
  <c r="C26" i="21"/>
  <c r="C29" i="21" s="1"/>
  <c r="H24" i="10"/>
  <c r="P24" i="10" s="1"/>
  <c r="N19" i="26"/>
  <c r="N20" i="26" s="1"/>
  <c r="N21" i="26" s="1"/>
  <c r="N22" i="26" s="1"/>
  <c r="N23" i="26" s="1"/>
  <c r="N24" i="26" s="1"/>
  <c r="N25" i="26" s="1"/>
  <c r="N26" i="26" s="1"/>
  <c r="N27" i="26" s="1"/>
  <c r="N28" i="26" s="1"/>
  <c r="N29" i="26" s="1"/>
  <c r="N30" i="26" s="1"/>
  <c r="N31" i="26" s="1"/>
  <c r="N32" i="26" s="1"/>
  <c r="N33" i="26" s="1"/>
  <c r="N34" i="26" s="1"/>
  <c r="N35" i="26" s="1"/>
  <c r="N36" i="26" s="1"/>
  <c r="N37" i="26" s="1"/>
  <c r="N38" i="26" s="1"/>
  <c r="N39" i="26" s="1"/>
  <c r="N40" i="26" s="1"/>
  <c r="N41" i="26" s="1"/>
  <c r="N42" i="26" s="1"/>
  <c r="N43" i="26" s="1"/>
  <c r="N44" i="26" s="1"/>
  <c r="N45" i="26" s="1"/>
  <c r="N46" i="26" s="1"/>
  <c r="N47" i="26" s="1"/>
  <c r="N48" i="26" s="1"/>
  <c r="J2" i="20"/>
  <c r="J26" i="20" s="1"/>
  <c r="J107" i="10"/>
  <c r="BD119" i="10" s="1"/>
  <c r="K26" i="10"/>
  <c r="H26" i="10" s="1"/>
  <c r="G3" i="5"/>
  <c r="G4" i="5" s="1"/>
  <c r="G26" i="10"/>
  <c r="G32" i="10" s="1"/>
  <c r="K2" i="7"/>
  <c r="K26" i="7" s="1"/>
  <c r="K104" i="10"/>
  <c r="U116" i="10" s="1"/>
  <c r="I2" i="8"/>
  <c r="I27" i="8" s="1"/>
  <c r="I105" i="10"/>
  <c r="AE117" i="10" s="1"/>
  <c r="G2" i="4"/>
  <c r="G26" i="4" s="1"/>
  <c r="F108" i="10"/>
  <c r="BL120" i="10" s="1"/>
  <c r="I16" i="23"/>
  <c r="J15" i="23"/>
  <c r="G12" i="23"/>
  <c r="L12" i="23" s="1"/>
  <c r="K12" i="23"/>
  <c r="F13" i="23"/>
  <c r="P25" i="10"/>
  <c r="J25" i="10"/>
  <c r="I2" i="19"/>
  <c r="I27" i="19" s="1"/>
  <c r="I106" i="10"/>
  <c r="AQ118" i="10" s="1"/>
  <c r="P23" i="10"/>
  <c r="J23" i="10"/>
  <c r="H2" i="9"/>
  <c r="H26" i="9" s="1"/>
  <c r="H103" i="10"/>
  <c r="F115" i="10" s="1"/>
  <c r="D52" i="23"/>
  <c r="L52" i="23" s="1"/>
  <c r="L51" i="23"/>
  <c r="F2" i="21"/>
  <c r="F26" i="21" s="1"/>
  <c r="E109" i="10"/>
  <c r="BW121" i="10" s="1"/>
  <c r="N1" i="28" l="1"/>
  <c r="N6" i="28" s="1"/>
  <c r="N7" i="28" s="1"/>
  <c r="N8" i="28" s="1"/>
  <c r="N9" i="28" s="1"/>
  <c r="N10" i="28" s="1"/>
  <c r="N11" i="28" s="1"/>
  <c r="N12" i="28" s="1"/>
  <c r="N13" i="28" s="1"/>
  <c r="N14" i="28" s="1"/>
  <c r="N15" i="28" s="1"/>
  <c r="N16" i="28" s="1"/>
  <c r="N17" i="28" s="1"/>
  <c r="N18" i="28" s="1"/>
  <c r="N19" i="28" s="1"/>
  <c r="N20" i="28" s="1"/>
  <c r="N21" i="28" s="1"/>
  <c r="N22" i="28" s="1"/>
  <c r="N23" i="28" s="1"/>
  <c r="N24" i="28" s="1"/>
  <c r="N25" i="28" s="1"/>
  <c r="N26" i="28" s="1"/>
  <c r="N27" i="28" s="1"/>
  <c r="P5" i="27"/>
  <c r="P29" i="27" s="1"/>
  <c r="N5" i="27"/>
  <c r="N29" i="27" s="1"/>
  <c r="P28" i="10"/>
  <c r="J24" i="10"/>
  <c r="I4" i="5"/>
  <c r="I32" i="5"/>
  <c r="K29" i="10" s="1"/>
  <c r="M58" i="27"/>
  <c r="I34" i="5"/>
  <c r="M27" i="23"/>
  <c r="C2" i="25"/>
  <c r="D29" i="21"/>
  <c r="H2" i="4"/>
  <c r="H26" i="4" s="1"/>
  <c r="G108" i="10"/>
  <c r="BM120" i="10" s="1"/>
  <c r="K13" i="23"/>
  <c r="G13" i="23"/>
  <c r="L13" i="23" s="1"/>
  <c r="F14" i="23"/>
  <c r="J2" i="8"/>
  <c r="J27" i="8" s="1"/>
  <c r="J105" i="10"/>
  <c r="AF117" i="10" s="1"/>
  <c r="J2" i="19"/>
  <c r="J27" i="19" s="1"/>
  <c r="J106" i="10"/>
  <c r="AR118" i="10" s="1"/>
  <c r="J26" i="10"/>
  <c r="P26" i="10"/>
  <c r="I103" i="10"/>
  <c r="G115" i="10" s="1"/>
  <c r="I2" i="9"/>
  <c r="I26" i="9" s="1"/>
  <c r="H27" i="10"/>
  <c r="K2" i="20"/>
  <c r="K26" i="20" s="1"/>
  <c r="K107" i="10"/>
  <c r="BE119" i="10" s="1"/>
  <c r="I17" i="23"/>
  <c r="J16" i="23"/>
  <c r="L2" i="7"/>
  <c r="L26" i="7" s="1"/>
  <c r="L104" i="10"/>
  <c r="V116" i="10" s="1"/>
  <c r="F109" i="10"/>
  <c r="BX121" i="10" s="1"/>
  <c r="G2" i="21"/>
  <c r="G26" i="21" s="1"/>
  <c r="N58" i="27" l="1"/>
  <c r="Q5" i="27"/>
  <c r="Q29" i="27" s="1"/>
  <c r="O58" i="27" s="1"/>
  <c r="N28" i="28"/>
  <c r="N29" i="28" s="1"/>
  <c r="N30" i="28" s="1"/>
  <c r="N31" i="28" s="1"/>
  <c r="N32" i="28" s="1"/>
  <c r="N33" i="28" s="1"/>
  <c r="N34" i="28" s="1"/>
  <c r="N35" i="28" s="1"/>
  <c r="N36" i="28" s="1"/>
  <c r="N37" i="28" s="1"/>
  <c r="N38" i="28" s="1"/>
  <c r="N39" i="28" s="1"/>
  <c r="N40" i="28" s="1"/>
  <c r="N41" i="28" s="1"/>
  <c r="N42" i="28" s="1"/>
  <c r="N43" i="28" s="1"/>
  <c r="N44" i="28" s="1"/>
  <c r="N45" i="28" s="1"/>
  <c r="N46" i="28" s="1"/>
  <c r="N47" i="28" s="1"/>
  <c r="N48" i="28" s="1"/>
  <c r="N49" i="28" s="1"/>
  <c r="N50" i="28" s="1"/>
  <c r="N51" i="28" s="1"/>
  <c r="N52" i="28" s="1"/>
  <c r="N53" i="28" s="1"/>
  <c r="N54" i="28" s="1"/>
  <c r="N55" i="28" s="1"/>
  <c r="N56" i="28" s="1"/>
  <c r="N57" i="28" s="1"/>
  <c r="H29" i="10"/>
  <c r="P29" i="10" s="1"/>
  <c r="E2" i="25"/>
  <c r="E26" i="25" s="1"/>
  <c r="D2" i="25"/>
  <c r="D26" i="25" s="1"/>
  <c r="C26" i="25"/>
  <c r="C29" i="25" s="1"/>
  <c r="J29" i="10"/>
  <c r="M104" i="10"/>
  <c r="W116" i="10" s="1"/>
  <c r="M2" i="7"/>
  <c r="M26" i="7" s="1"/>
  <c r="K2" i="8"/>
  <c r="K27" i="8" s="1"/>
  <c r="K105" i="10"/>
  <c r="AG117" i="10" s="1"/>
  <c r="F15" i="23"/>
  <c r="K14" i="23"/>
  <c r="G14" i="23"/>
  <c r="L14" i="23" s="1"/>
  <c r="J103" i="10"/>
  <c r="H115" i="10" s="1"/>
  <c r="J2" i="9"/>
  <c r="J26" i="9" s="1"/>
  <c r="J17" i="23"/>
  <c r="I18" i="23"/>
  <c r="L2" i="20"/>
  <c r="L26" i="20" s="1"/>
  <c r="L107" i="10"/>
  <c r="BF119" i="10" s="1"/>
  <c r="K2" i="19"/>
  <c r="K27" i="19" s="1"/>
  <c r="K106" i="10"/>
  <c r="AS118" i="10" s="1"/>
  <c r="H108" i="10"/>
  <c r="BN120" i="10" s="1"/>
  <c r="I2" i="4"/>
  <c r="I26" i="4" s="1"/>
  <c r="P27" i="10"/>
  <c r="J27" i="10"/>
  <c r="G109" i="10"/>
  <c r="BY121" i="10" s="1"/>
  <c r="H2" i="21"/>
  <c r="H26" i="21" s="1"/>
  <c r="D29" i="25" l="1"/>
  <c r="M28" i="23" s="1"/>
  <c r="C2" i="29"/>
  <c r="K30" i="10"/>
  <c r="H30" i="10" s="1"/>
  <c r="J30" i="10" s="1"/>
  <c r="E110" i="10"/>
  <c r="CI122" i="10" s="1"/>
  <c r="F2" i="25"/>
  <c r="F26" i="25" s="1"/>
  <c r="M107" i="10"/>
  <c r="BG119" i="10" s="1"/>
  <c r="M2" i="20"/>
  <c r="M26" i="20" s="1"/>
  <c r="J18" i="23"/>
  <c r="I19" i="23"/>
  <c r="N2" i="7"/>
  <c r="N26" i="7" s="1"/>
  <c r="N104" i="10"/>
  <c r="X116" i="10" s="1"/>
  <c r="L2" i="19"/>
  <c r="L27" i="19" s="1"/>
  <c r="L106" i="10"/>
  <c r="AT118" i="10" s="1"/>
  <c r="L2" i="8"/>
  <c r="L27" i="8" s="1"/>
  <c r="L105" i="10"/>
  <c r="AH117" i="10" s="1"/>
  <c r="I108" i="10"/>
  <c r="BO120" i="10" s="1"/>
  <c r="J2" i="4"/>
  <c r="J26" i="4" s="1"/>
  <c r="K103" i="10"/>
  <c r="I115" i="10" s="1"/>
  <c r="K2" i="9"/>
  <c r="K26" i="9" s="1"/>
  <c r="F16" i="23"/>
  <c r="G15" i="23"/>
  <c r="L15" i="23" s="1"/>
  <c r="K15" i="23"/>
  <c r="I2" i="21"/>
  <c r="I26" i="21" s="1"/>
  <c r="H109" i="10"/>
  <c r="BZ121" i="10" s="1"/>
  <c r="P30" i="10" l="1"/>
  <c r="E2" i="29"/>
  <c r="E25" i="29" s="1"/>
  <c r="D2" i="29"/>
  <c r="D25" i="29" s="1"/>
  <c r="D30" i="29" s="1"/>
  <c r="C25" i="29"/>
  <c r="C28" i="29" s="1"/>
  <c r="G2" i="25"/>
  <c r="G26" i="25" s="1"/>
  <c r="F110" i="10"/>
  <c r="CJ122" i="10" s="1"/>
  <c r="I20" i="23"/>
  <c r="J19" i="23"/>
  <c r="O2" i="7"/>
  <c r="O26" i="7" s="1"/>
  <c r="P104" i="10" s="1"/>
  <c r="Z116" i="10" s="1"/>
  <c r="Z117" i="10" s="1"/>
  <c r="O104" i="10"/>
  <c r="Y116" i="10" s="1"/>
  <c r="M105" i="10"/>
  <c r="AI117" i="10" s="1"/>
  <c r="M2" i="8"/>
  <c r="M27" i="8" s="1"/>
  <c r="J108" i="10"/>
  <c r="BP120" i="10" s="1"/>
  <c r="K2" i="4"/>
  <c r="K26" i="4" s="1"/>
  <c r="N107" i="10"/>
  <c r="BH119" i="10" s="1"/>
  <c r="N2" i="20"/>
  <c r="N26" i="20" s="1"/>
  <c r="L103" i="10"/>
  <c r="J115" i="10" s="1"/>
  <c r="L2" i="9"/>
  <c r="L26" i="9" s="1"/>
  <c r="M2" i="19"/>
  <c r="M27" i="19" s="1"/>
  <c r="M106" i="10"/>
  <c r="AU118" i="10" s="1"/>
  <c r="G16" i="23"/>
  <c r="L16" i="23" s="1"/>
  <c r="F17" i="23"/>
  <c r="K16" i="23"/>
  <c r="J2" i="21"/>
  <c r="J26" i="21" s="1"/>
  <c r="I109" i="10"/>
  <c r="CA121" i="10" s="1"/>
  <c r="M29" i="23" l="1"/>
  <c r="K31" i="10"/>
  <c r="H31" i="10" s="1"/>
  <c r="F2" i="29"/>
  <c r="F25" i="29" s="1"/>
  <c r="E111" i="10"/>
  <c r="CU123" i="10" s="1"/>
  <c r="G110" i="10"/>
  <c r="CK122" i="10" s="1"/>
  <c r="H2" i="25"/>
  <c r="H26" i="25" s="1"/>
  <c r="N2" i="19"/>
  <c r="N27" i="19" s="1"/>
  <c r="N106" i="10"/>
  <c r="AV118" i="10" s="1"/>
  <c r="N105" i="10"/>
  <c r="AJ117" i="10" s="1"/>
  <c r="N2" i="8"/>
  <c r="N27" i="8" s="1"/>
  <c r="O2" i="20"/>
  <c r="O26" i="20" s="1"/>
  <c r="P107" i="10" s="1"/>
  <c r="BJ119" i="10" s="1"/>
  <c r="BJ120" i="10" s="1"/>
  <c r="O107" i="10"/>
  <c r="BI119" i="10" s="1"/>
  <c r="I21" i="23"/>
  <c r="J20" i="23"/>
  <c r="M2" i="9"/>
  <c r="M26" i="9" s="1"/>
  <c r="M103" i="10"/>
  <c r="K115" i="10" s="1"/>
  <c r="K17" i="23"/>
  <c r="G17" i="23"/>
  <c r="L17" i="23" s="1"/>
  <c r="F18" i="23"/>
  <c r="L2" i="4"/>
  <c r="L26" i="4" s="1"/>
  <c r="K108" i="10"/>
  <c r="BQ120" i="10" s="1"/>
  <c r="K2" i="21"/>
  <c r="K26" i="21" s="1"/>
  <c r="J109" i="10"/>
  <c r="CB121" i="10" s="1"/>
  <c r="H32" i="10" l="1"/>
  <c r="J31" i="10"/>
  <c r="J32" i="10" s="1"/>
  <c r="P31" i="10"/>
  <c r="P32" i="10" s="1"/>
  <c r="G2" i="29"/>
  <c r="G25" i="29" s="1"/>
  <c r="F111" i="10"/>
  <c r="CV123" i="10" s="1"/>
  <c r="I2" i="25"/>
  <c r="I26" i="25" s="1"/>
  <c r="H110" i="10"/>
  <c r="CL122" i="10" s="1"/>
  <c r="J21" i="23"/>
  <c r="I22" i="23"/>
  <c r="F19" i="23"/>
  <c r="K18" i="23"/>
  <c r="G18" i="23"/>
  <c r="L18" i="23" s="1"/>
  <c r="O2" i="8"/>
  <c r="O27" i="8" s="1"/>
  <c r="P105" i="10" s="1"/>
  <c r="AL117" i="10" s="1"/>
  <c r="AL118" i="10" s="1"/>
  <c r="O105" i="10"/>
  <c r="AK117" i="10" s="1"/>
  <c r="L108" i="10"/>
  <c r="BR120" i="10" s="1"/>
  <c r="M2" i="4"/>
  <c r="M26" i="4" s="1"/>
  <c r="N103" i="10"/>
  <c r="L115" i="10" s="1"/>
  <c r="N2" i="9"/>
  <c r="N26" i="9" s="1"/>
  <c r="O2" i="19"/>
  <c r="O27" i="19" s="1"/>
  <c r="P106" i="10" s="1"/>
  <c r="AX118" i="10" s="1"/>
  <c r="AX119" i="10" s="1"/>
  <c r="O106" i="10"/>
  <c r="AW118" i="10" s="1"/>
  <c r="K109" i="10"/>
  <c r="CC121" i="10" s="1"/>
  <c r="L2" i="21"/>
  <c r="L26" i="21" s="1"/>
  <c r="H33" i="10" l="1"/>
  <c r="P33" i="10"/>
  <c r="U33" i="10"/>
  <c r="O33" i="10"/>
  <c r="M33" i="10"/>
  <c r="I33" i="10"/>
  <c r="N33" i="10"/>
  <c r="R33" i="10"/>
  <c r="T33" i="10"/>
  <c r="Q33" i="10"/>
  <c r="S33" i="10"/>
  <c r="H2" i="29"/>
  <c r="H25" i="29" s="1"/>
  <c r="G111" i="10"/>
  <c r="CW123" i="10" s="1"/>
  <c r="J2" i="25"/>
  <c r="J26" i="25" s="1"/>
  <c r="I110" i="10"/>
  <c r="CM122" i="10" s="1"/>
  <c r="O2" i="9"/>
  <c r="O26" i="9" s="1"/>
  <c r="P103" i="10" s="1"/>
  <c r="N115" i="10" s="1"/>
  <c r="N116" i="10" s="1"/>
  <c r="O103" i="10"/>
  <c r="M115" i="10" s="1"/>
  <c r="F20" i="23"/>
  <c r="K19" i="23"/>
  <c r="G19" i="23"/>
  <c r="L19" i="23" s="1"/>
  <c r="J22" i="23"/>
  <c r="I23" i="23"/>
  <c r="N2" i="4"/>
  <c r="N26" i="4" s="1"/>
  <c r="M108" i="10"/>
  <c r="BS120" i="10" s="1"/>
  <c r="M2" i="21"/>
  <c r="M26" i="21" s="1"/>
  <c r="L109" i="10"/>
  <c r="CD121" i="10" s="1"/>
  <c r="V33" i="10" l="1"/>
  <c r="H111" i="10"/>
  <c r="CX123" i="10" s="1"/>
  <c r="I2" i="29"/>
  <c r="I25" i="29" s="1"/>
  <c r="K2" i="25"/>
  <c r="K26" i="25" s="1"/>
  <c r="J110" i="10"/>
  <c r="CN122" i="10" s="1"/>
  <c r="N108" i="10"/>
  <c r="BT120" i="10" s="1"/>
  <c r="O2" i="4"/>
  <c r="O26" i="4" s="1"/>
  <c r="J23" i="23"/>
  <c r="I24" i="23"/>
  <c r="G20" i="23"/>
  <c r="L20" i="23" s="1"/>
  <c r="K20" i="23"/>
  <c r="F21" i="23"/>
  <c r="N2" i="21"/>
  <c r="N26" i="21" s="1"/>
  <c r="M109" i="10"/>
  <c r="CE121" i="10" s="1"/>
  <c r="J2" i="29" l="1"/>
  <c r="J25" i="29" s="1"/>
  <c r="I111" i="10"/>
  <c r="CY123" i="10" s="1"/>
  <c r="L2" i="25"/>
  <c r="L26" i="25" s="1"/>
  <c r="K110" i="10"/>
  <c r="CO122" i="10" s="1"/>
  <c r="O108" i="10"/>
  <c r="BU120" i="10" s="1"/>
  <c r="P2" i="4"/>
  <c r="P26" i="4" s="1"/>
  <c r="P108" i="10" s="1"/>
  <c r="BV120" i="10" s="1"/>
  <c r="BV121" i="10" s="1"/>
  <c r="K21" i="23"/>
  <c r="G21" i="23"/>
  <c r="L21" i="23" s="1"/>
  <c r="F22" i="23"/>
  <c r="J24" i="23"/>
  <c r="I25" i="23"/>
  <c r="O2" i="21"/>
  <c r="O26" i="21" s="1"/>
  <c r="N109" i="10"/>
  <c r="CF121" i="10" s="1"/>
  <c r="K2" i="29" l="1"/>
  <c r="K25" i="29" s="1"/>
  <c r="J111" i="10"/>
  <c r="CZ123" i="10" s="1"/>
  <c r="L110" i="10"/>
  <c r="CP122" i="10" s="1"/>
  <c r="M2" i="25"/>
  <c r="M26" i="25" s="1"/>
  <c r="J25" i="23"/>
  <c r="I26" i="23"/>
  <c r="K22" i="23"/>
  <c r="F23" i="23"/>
  <c r="G22" i="23"/>
  <c r="L22" i="23" s="1"/>
  <c r="O109" i="10"/>
  <c r="CG121" i="10" s="1"/>
  <c r="P2" i="21"/>
  <c r="P26" i="21" s="1"/>
  <c r="P109" i="10" s="1"/>
  <c r="CH121" i="10" s="1"/>
  <c r="CH122" i="10" s="1"/>
  <c r="N2" i="25" l="1"/>
  <c r="N26" i="25" s="1"/>
  <c r="M110" i="10"/>
  <c r="CQ122" i="10" s="1"/>
  <c r="L2" i="29"/>
  <c r="L25" i="29" s="1"/>
  <c r="K111" i="10"/>
  <c r="DA123" i="10" s="1"/>
  <c r="J26" i="23"/>
  <c r="I27" i="23"/>
  <c r="K23" i="23"/>
  <c r="F24" i="23"/>
  <c r="G23" i="23"/>
  <c r="L23" i="23" s="1"/>
  <c r="AL124" i="10" s="1"/>
  <c r="O2" i="25" l="1"/>
  <c r="O26" i="25" s="1"/>
  <c r="N110" i="10"/>
  <c r="CR122" i="10" s="1"/>
  <c r="M2" i="29"/>
  <c r="M25" i="29" s="1"/>
  <c r="L111" i="10"/>
  <c r="DB123" i="10" s="1"/>
  <c r="AM124" i="10"/>
  <c r="AN124" i="10" s="1"/>
  <c r="AO124" i="10" s="1"/>
  <c r="AP124" i="10" s="1"/>
  <c r="AQ124" i="10" s="1"/>
  <c r="AR124" i="10" s="1"/>
  <c r="AS124" i="10" s="1"/>
  <c r="AT124" i="10" s="1"/>
  <c r="AU124" i="10" s="1"/>
  <c r="AV124" i="10" s="1"/>
  <c r="AW124" i="10" s="1"/>
  <c r="AK124" i="10"/>
  <c r="AJ124" i="10" s="1"/>
  <c r="AI124" i="10" s="1"/>
  <c r="AH124" i="10" s="1"/>
  <c r="AG124" i="10" s="1"/>
  <c r="AF124" i="10" s="1"/>
  <c r="AE124" i="10" s="1"/>
  <c r="AD124" i="10" s="1"/>
  <c r="AC124" i="10" s="1"/>
  <c r="AB124" i="10" s="1"/>
  <c r="AA124" i="10" s="1"/>
  <c r="K24" i="23"/>
  <c r="F25" i="23"/>
  <c r="G24" i="23"/>
  <c r="L24" i="23" s="1"/>
  <c r="J27" i="23"/>
  <c r="I28" i="23"/>
  <c r="AX124" i="10" l="1"/>
  <c r="AY124" i="10" s="1"/>
  <c r="AZ124" i="10" s="1"/>
  <c r="BA124" i="10" s="1"/>
  <c r="BB124" i="10" s="1"/>
  <c r="BC124" i="10" s="1"/>
  <c r="BD124" i="10" s="1"/>
  <c r="BE124" i="10" s="1"/>
  <c r="BF124" i="10" s="1"/>
  <c r="BG124" i="10" s="1"/>
  <c r="BH124" i="10" s="1"/>
  <c r="BI124" i="10" s="1"/>
  <c r="P2" i="25"/>
  <c r="P26" i="25" s="1"/>
  <c r="P110" i="10" s="1"/>
  <c r="CT122" i="10" s="1"/>
  <c r="CT123" i="10" s="1"/>
  <c r="O110" i="10"/>
  <c r="CS122" i="10" s="1"/>
  <c r="N2" i="29"/>
  <c r="N25" i="29" s="1"/>
  <c r="M111" i="10"/>
  <c r="DC123" i="10" s="1"/>
  <c r="J28" i="23"/>
  <c r="I29" i="23"/>
  <c r="K25" i="23"/>
  <c r="F26" i="23"/>
  <c r="G25" i="23"/>
  <c r="L25" i="23" s="1"/>
  <c r="BJ124" i="10" l="1"/>
  <c r="BK124" i="10" s="1"/>
  <c r="BL124" i="10" s="1"/>
  <c r="BM124" i="10" s="1"/>
  <c r="BN124" i="10" s="1"/>
  <c r="BO124" i="10" s="1"/>
  <c r="BP124" i="10" s="1"/>
  <c r="BQ124" i="10" s="1"/>
  <c r="BR124" i="10" s="1"/>
  <c r="BS124" i="10" s="1"/>
  <c r="BT124" i="10" s="1"/>
  <c r="BU124" i="10" s="1"/>
  <c r="O2" i="29"/>
  <c r="O25" i="29" s="1"/>
  <c r="N111" i="10"/>
  <c r="DD123" i="10" s="1"/>
  <c r="K26" i="23"/>
  <c r="F27" i="23"/>
  <c r="G26" i="23"/>
  <c r="L26" i="23" s="1"/>
  <c r="BV124" i="10" s="1"/>
  <c r="J29" i="23"/>
  <c r="I30" i="23"/>
  <c r="O111" i="10" l="1"/>
  <c r="DE123" i="10" s="1"/>
  <c r="P2" i="29"/>
  <c r="P25" i="29" s="1"/>
  <c r="P111" i="10" s="1"/>
  <c r="DF123" i="10" s="1"/>
  <c r="BW124" i="10"/>
  <c r="BX124" i="10" s="1"/>
  <c r="BY124" i="10" s="1"/>
  <c r="BZ124" i="10" s="1"/>
  <c r="CA124" i="10" s="1"/>
  <c r="CB124" i="10" s="1"/>
  <c r="CC124" i="10" s="1"/>
  <c r="CD124" i="10" s="1"/>
  <c r="CE124" i="10" s="1"/>
  <c r="CF124" i="10" s="1"/>
  <c r="CG124" i="10" s="1"/>
  <c r="N26" i="23"/>
  <c r="K27" i="23"/>
  <c r="F28" i="23"/>
  <c r="G27" i="23"/>
  <c r="L27" i="23" s="1"/>
  <c r="CH124" i="10" s="1"/>
  <c r="J30" i="23"/>
  <c r="I31" i="23"/>
  <c r="CI124" i="10" l="1"/>
  <c r="CJ124" i="10" s="1"/>
  <c r="CK124" i="10" s="1"/>
  <c r="CL124" i="10" s="1"/>
  <c r="CM124" i="10" s="1"/>
  <c r="CN124" i="10" s="1"/>
  <c r="CO124" i="10" s="1"/>
  <c r="CP124" i="10" s="1"/>
  <c r="CQ124" i="10" s="1"/>
  <c r="CR124" i="10" s="1"/>
  <c r="CS124" i="10" s="1"/>
  <c r="N27" i="23"/>
  <c r="K28" i="23"/>
  <c r="F29" i="23"/>
  <c r="G28" i="23"/>
  <c r="L28" i="23" s="1"/>
  <c r="J31" i="23"/>
  <c r="I32" i="23"/>
  <c r="CT124" i="10" l="1"/>
  <c r="CU124" i="10" s="1"/>
  <c r="CV124" i="10" s="1"/>
  <c r="CW124" i="10" s="1"/>
  <c r="CX124" i="10" s="1"/>
  <c r="CY124" i="10" s="1"/>
  <c r="CZ124" i="10" s="1"/>
  <c r="DA124" i="10" s="1"/>
  <c r="DB124" i="10" s="1"/>
  <c r="DC124" i="10" s="1"/>
  <c r="DD124" i="10" s="1"/>
  <c r="DE124" i="10" s="1"/>
  <c r="DF124" i="10" s="1"/>
  <c r="N28" i="23"/>
  <c r="J32" i="23"/>
  <c r="I33" i="23"/>
  <c r="K29" i="23"/>
  <c r="F30" i="23"/>
  <c r="G29" i="23"/>
  <c r="L29" i="23" s="1"/>
  <c r="N29" i="23" s="1"/>
  <c r="K30" i="23" l="1"/>
  <c r="F31" i="23"/>
  <c r="G30" i="23"/>
  <c r="L30" i="23" s="1"/>
  <c r="J33" i="23"/>
  <c r="I34" i="23"/>
  <c r="K31" i="23" l="1"/>
  <c r="F32" i="23"/>
  <c r="G31" i="23"/>
  <c r="L31" i="23" s="1"/>
  <c r="J34" i="23"/>
  <c r="I35" i="23"/>
  <c r="J35" i="23" l="1"/>
  <c r="I36" i="23"/>
  <c r="K32" i="23"/>
  <c r="F33" i="23"/>
  <c r="G32" i="23"/>
  <c r="L32" i="23" s="1"/>
  <c r="K33" i="23" l="1"/>
  <c r="F34" i="23"/>
  <c r="G33" i="23"/>
  <c r="L33" i="23" s="1"/>
  <c r="J36" i="23"/>
  <c r="I37" i="23"/>
  <c r="J37" i="23" l="1"/>
  <c r="K34" i="23"/>
  <c r="F35" i="23"/>
  <c r="G34" i="23"/>
  <c r="L34" i="23" s="1"/>
  <c r="K35" i="23" l="1"/>
  <c r="F36" i="23"/>
  <c r="G35" i="23"/>
  <c r="L35" i="23" s="1"/>
  <c r="K36" i="23" l="1"/>
  <c r="F37" i="23"/>
  <c r="G36" i="23"/>
  <c r="L36" i="23" s="1"/>
  <c r="K37" i="23" l="1"/>
  <c r="F38" i="23"/>
  <c r="G37" i="23"/>
  <c r="L37" i="23" s="1"/>
  <c r="F39" i="23" l="1"/>
  <c r="K38" i="23"/>
  <c r="G38" i="23"/>
  <c r="L38" i="23" s="1"/>
  <c r="F40" i="23" l="1"/>
  <c r="K39" i="23"/>
  <c r="G39" i="23"/>
  <c r="L39" i="23" s="1"/>
  <c r="K40" i="23" l="1"/>
  <c r="G40" i="23"/>
  <c r="L40" i="23" s="1"/>
  <c r="F41" i="23"/>
  <c r="K41" i="23" l="1"/>
  <c r="G41" i="23"/>
  <c r="L41" i="23" s="1"/>
  <c r="F42" i="23"/>
  <c r="F43" i="23" l="1"/>
  <c r="G42" i="23"/>
  <c r="L42" i="23" s="1"/>
  <c r="K42" i="23"/>
  <c r="F44" i="23" l="1"/>
  <c r="K43" i="23"/>
  <c r="G43" i="23"/>
  <c r="L43" i="23" s="1"/>
  <c r="K44" i="23" l="1"/>
  <c r="G44" i="23"/>
  <c r="L44" i="23" s="1"/>
  <c r="F45" i="23"/>
  <c r="K45" i="23" l="1"/>
  <c r="G45" i="23"/>
  <c r="L45" i="23" s="1"/>
  <c r="F46" i="23"/>
  <c r="F47" i="23" l="1"/>
  <c r="K46" i="23"/>
  <c r="G46" i="23"/>
  <c r="L46" i="23" s="1"/>
  <c r="K47" i="23" l="1"/>
  <c r="G47" i="23"/>
  <c r="L47" i="2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Larry</author>
  </authors>
  <commentList>
    <comment ref="C5" authorId="0" shapeId="0" xr:uid="{00000000-0006-0000-0100-000001000000}">
      <text>
        <r>
          <rPr>
            <sz val="9"/>
            <color indexed="81"/>
            <rFont val="Tahoma"/>
            <family val="2"/>
          </rPr>
          <t>Should be $26,746.75 per BofA stmts dated 12/31/13 and 1/31/14.</t>
        </r>
      </text>
    </comment>
    <comment ref="D5" authorId="0" shapeId="0" xr:uid="{00000000-0006-0000-0100-000002000000}">
      <text>
        <r>
          <rPr>
            <sz val="9"/>
            <color indexed="81"/>
            <rFont val="Tahoma"/>
            <family val="2"/>
          </rPr>
          <t>Should be $28,293.22
 per BofA stmts of 12/31/14 and 1/31/15.</t>
        </r>
      </text>
    </comment>
    <comment ref="E5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Should be $25,332.04 per BofA stmt of 12/31/15.
</t>
        </r>
      </text>
    </comment>
    <comment ref="F5" authorId="0" shapeId="0" xr:uid="{00000000-0006-0000-0100-000004000000}">
      <text>
        <r>
          <rPr>
            <sz val="9"/>
            <color indexed="81"/>
            <rFont val="Tahoma"/>
            <family val="2"/>
          </rPr>
          <t>S/b $19,783.10 per BofA stmts for 12/31/16 and 1/1/17.</t>
        </r>
      </text>
    </comment>
    <comment ref="G5" authorId="0" shapeId="0" xr:uid="{00000000-0006-0000-0100-000005000000}">
      <text>
        <r>
          <rPr>
            <sz val="9"/>
            <color indexed="81"/>
            <rFont val="Tahoma"/>
            <family val="2"/>
          </rPr>
          <t>S/b $23,160.10 per Banner Bank Stmts.</t>
        </r>
      </text>
    </comment>
    <comment ref="H5" authorId="0" shapeId="0" xr:uid="{00000000-0006-0000-0100-000006000000}">
      <text>
        <r>
          <rPr>
            <sz val="9"/>
            <color indexed="81"/>
            <rFont val="Tahoma"/>
            <family val="2"/>
          </rPr>
          <t>S/b $23,374.07 per Banner Bank statements.</t>
        </r>
      </text>
    </comment>
    <comment ref="L19" authorId="0" shapeId="0" xr:uid="{00000000-0006-0000-0100-000007000000}">
      <text>
        <r>
          <rPr>
            <sz val="9"/>
            <color indexed="81"/>
            <rFont val="Tahoma"/>
            <family val="2"/>
          </rPr>
          <t>Coverage increased from $1M to $2M.</t>
        </r>
      </text>
    </comment>
    <comment ref="H27" authorId="0" shapeId="0" xr:uid="{00000000-0006-0000-0100-000008000000}">
      <text>
        <r>
          <rPr>
            <sz val="9"/>
            <color indexed="81"/>
            <rFont val="Tahoma"/>
            <family val="2"/>
          </rPr>
          <t>Includes $156 reimbursement to DiMarco for pmts made in 2017 and 2018 from his personal account.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Larry Raklios</author>
    <author>Larry</author>
  </authors>
  <commentList>
    <comment ref="E9" authorId="0" shapeId="0" xr:uid="{97F250F9-77A7-4AA2-B28A-884BBCC9F44D}">
      <text>
        <r>
          <rPr>
            <sz val="9"/>
            <color indexed="81"/>
            <rFont val="Tahoma"/>
            <family val="2"/>
          </rPr>
          <t xml:space="preserve">$550 for December + $550 for January.
</t>
        </r>
      </text>
    </comment>
    <comment ref="J10" authorId="1" shapeId="0" xr:uid="{D541D89E-1A01-4EFF-8C7E-182E164292A6}">
      <text>
        <r>
          <rPr>
            <sz val="9"/>
            <color indexed="81"/>
            <rFont val="Tahoma"/>
            <family val="2"/>
          </rPr>
          <t>Reimburse William Verner for 2021 irrigation winterization and backflow test.</t>
        </r>
      </text>
    </comment>
    <comment ref="K10" authorId="1" shapeId="0" xr:uid="{5A96D48C-4B34-4080-A38E-4D4E529470F7}">
      <text>
        <r>
          <rPr>
            <sz val="9"/>
            <color indexed="81"/>
            <rFont val="Tahoma"/>
            <family val="2"/>
          </rPr>
          <t>Fence cleaning, done by volunteers in 2019, 2020 &amp; 2021. $800 estimate per Daniel Hernandez in 2019.</t>
        </r>
      </text>
    </comment>
    <comment ref="P10" authorId="0" shapeId="0" xr:uid="{13CD2F81-2519-4DDA-94E4-202B062DF73D}">
      <text>
        <r>
          <rPr>
            <sz val="9"/>
            <color indexed="81"/>
            <rFont val="Tahoma"/>
            <family val="2"/>
          </rPr>
          <t>Winterization and backflow test.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J11" authorId="0" shapeId="0" xr:uid="{7B95BD41-4DF0-44F3-9389-0948D7B958E1}">
      <text>
        <r>
          <rPr>
            <sz val="9"/>
            <color indexed="81"/>
            <rFont val="Tahoma"/>
            <family val="2"/>
          </rPr>
          <t>Reimbursement to Marlowe Fenne for 2021 fence repair.</t>
        </r>
      </text>
    </comment>
    <comment ref="N11" authorId="0" shapeId="0" xr:uid="{2A171FC1-B16F-45C0-B4A4-D49884156A31}">
      <text>
        <r>
          <rPr>
            <sz val="9"/>
            <color indexed="81"/>
            <rFont val="Tahoma"/>
            <family val="2"/>
          </rPr>
          <t>One-time fee to reduce water meter size, which should reduce water bill by ~$45/month.</t>
        </r>
      </text>
    </comment>
    <comment ref="G17" authorId="0" shapeId="0" xr:uid="{E68E5B8D-A884-4304-9771-C73F8BBE1F1C}">
      <text>
        <r>
          <rPr>
            <sz val="9"/>
            <color indexed="81"/>
            <rFont val="Tahoma"/>
            <family val="2"/>
          </rPr>
          <t>2 invoices (4 months) + $100 fee for late payment.</t>
        </r>
      </text>
    </comment>
    <comment ref="J19" authorId="0" shapeId="0" xr:uid="{6ACEB17D-6A90-4F05-8FBC-5AE6EE40E32D}">
      <text>
        <r>
          <rPr>
            <sz val="9"/>
            <color indexed="81"/>
            <rFont val="Tahoma"/>
            <family val="2"/>
          </rPr>
          <t>Reimbursement to Michelle Verner for 2021 website fees.</t>
        </r>
      </text>
    </comment>
    <comment ref="P19" authorId="0" shapeId="0" xr:uid="{333950FC-A10B-4046-98AD-B176E1BDF04E}">
      <text>
        <r>
          <rPr>
            <sz val="9"/>
            <color indexed="81"/>
            <rFont val="Tahoma"/>
            <family val="2"/>
          </rPr>
          <t>Reimbursement to Michelle Verner for 2022 website fees.</t>
        </r>
      </text>
    </comment>
    <comment ref="F20" authorId="0" shapeId="0" xr:uid="{D08868D7-9862-449D-B586-0E510AE6FE67}">
      <text>
        <r>
          <rPr>
            <sz val="9"/>
            <color indexed="81"/>
            <rFont val="Tahoma"/>
            <family val="2"/>
          </rPr>
          <t>Reimbursement to Marlowe Fenne for 2020 &amp; 2021 PO Box rent?</t>
        </r>
      </text>
    </comment>
    <comment ref="J20" authorId="0" shapeId="0" xr:uid="{CE1FC565-9912-477E-9FA2-96CA8516B09A}">
      <text>
        <r>
          <rPr>
            <sz val="9"/>
            <color indexed="81"/>
            <rFont val="Tahoma"/>
            <family val="2"/>
          </rPr>
          <t>Possible duplicate payment. See check 1023 cashed in February.</t>
        </r>
      </text>
    </comment>
    <comment ref="N20" authorId="0" shapeId="0" xr:uid="{0615A03C-6ECC-4D2D-8CA8-F966D1FE7BC6}">
      <text>
        <r>
          <rPr>
            <sz val="9"/>
            <color indexed="81"/>
            <rFont val="Tahoma"/>
            <family val="2"/>
          </rPr>
          <t>Timing based upon rent payment made in 2019. This payment may be due in early 2023 instead.</t>
        </r>
      </text>
    </comment>
    <comment ref="L21" authorId="0" shapeId="0" xr:uid="{41123BB0-F849-4FDB-82EC-57178C9CECBD}">
      <text>
        <r>
          <rPr>
            <sz val="9"/>
            <color indexed="81"/>
            <rFont val="Tahoma"/>
            <family val="2"/>
          </rPr>
          <t>Assumed.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Larry</author>
  </authors>
  <commentList>
    <comment ref="E5" authorId="0" shapeId="0" xr:uid="{00000000-0006-0000-1200-000001000000}">
      <text>
        <r>
          <rPr>
            <sz val="9"/>
            <color indexed="81"/>
            <rFont val="Tahoma"/>
            <family val="2"/>
          </rPr>
          <t>Should be $26,746.75 per BofA stmts dated 12/31/13 and 1/31/14.</t>
        </r>
      </text>
    </comment>
    <comment ref="F5" authorId="0" shapeId="0" xr:uid="{00000000-0006-0000-1200-000002000000}">
      <text>
        <r>
          <rPr>
            <sz val="9"/>
            <color indexed="81"/>
            <rFont val="Tahoma"/>
            <family val="2"/>
          </rPr>
          <t>Should be $28,293.19 per BofA stmts of 12/31/14 and 1/31/15.</t>
        </r>
      </text>
    </comment>
    <comment ref="G5" authorId="0" shapeId="0" xr:uid="{00000000-0006-0000-1200-000003000000}">
      <text>
        <r>
          <rPr>
            <sz val="9"/>
            <color indexed="81"/>
            <rFont val="Tahoma"/>
            <family val="2"/>
          </rPr>
          <t xml:space="preserve">Should be $25,332.04 per BofA stmt of 12/31/15.
</t>
        </r>
      </text>
    </comment>
    <comment ref="H5" authorId="0" shapeId="0" xr:uid="{00000000-0006-0000-1200-000004000000}">
      <text>
        <r>
          <rPr>
            <sz val="9"/>
            <color indexed="81"/>
            <rFont val="Tahoma"/>
            <family val="2"/>
          </rPr>
          <t>Ties to BofA stmts for 12/31/16 and 1/1/17.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Larry</author>
    <author>Larry Raklios</author>
  </authors>
  <commentList>
    <comment ref="C5" authorId="0" shapeId="0" xr:uid="{00000000-0006-0000-0000-000001000000}">
      <text>
        <r>
          <rPr>
            <sz val="9"/>
            <color indexed="81"/>
            <rFont val="Tahoma"/>
            <family val="2"/>
          </rPr>
          <t>S/b $23,160.10 per Banner Bank Stmts.</t>
        </r>
      </text>
    </comment>
    <comment ref="F5" authorId="0" shapeId="0" xr:uid="{00000000-0006-0000-0000-000002000000}">
      <text>
        <r>
          <rPr>
            <sz val="9"/>
            <color indexed="81"/>
            <rFont val="Tahoma"/>
            <family val="2"/>
          </rPr>
          <t>S/b $23,374.07 per Banner Bank statements.</t>
        </r>
      </text>
    </comment>
    <comment ref="J5" authorId="1" shapeId="0" xr:uid="{DFE38397-5D9F-485C-ACD4-DC4762FFD616}">
      <text>
        <r>
          <rPr>
            <sz val="9"/>
            <color indexed="81"/>
            <rFont val="Tahoma"/>
            <family val="2"/>
          </rPr>
          <t>Diff mainly due to unexpected $500 Dec. pmt for fence permit.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Larry</author>
    <author>Larry Raklios</author>
  </authors>
  <commentList>
    <comment ref="C5" authorId="0" shapeId="0" xr:uid="{E981238F-8284-40E3-81EE-B09AA266ED6C}">
      <text>
        <r>
          <rPr>
            <sz val="9"/>
            <color indexed="81"/>
            <rFont val="Tahoma"/>
            <family val="2"/>
          </rPr>
          <t>S/b $23,160.10 per Banner Bank Stmts.</t>
        </r>
      </text>
    </comment>
    <comment ref="F5" authorId="0" shapeId="0" xr:uid="{14B45831-267A-487C-9F45-0F8CF587A88A}">
      <text>
        <r>
          <rPr>
            <sz val="9"/>
            <color indexed="81"/>
            <rFont val="Tahoma"/>
            <family val="2"/>
          </rPr>
          <t>S/b $23,374.07 per Banner Bank statements.</t>
        </r>
      </text>
    </comment>
    <comment ref="J5" authorId="1" shapeId="0" xr:uid="{C7F9FEF5-66F0-45DF-8F46-CE0BE514590C}">
      <text>
        <r>
          <rPr>
            <sz val="9"/>
            <color indexed="81"/>
            <rFont val="Tahoma"/>
            <family val="2"/>
          </rPr>
          <t>Diff mainly due to unexpected $500 Dec. pmt for fence permit.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Larry</author>
  </authors>
  <commentList>
    <comment ref="F9" authorId="0" shapeId="0" xr:uid="{00000000-0006-0000-0200-000001000000}">
      <text>
        <r>
          <rPr>
            <sz val="9"/>
            <color indexed="81"/>
            <rFont val="Tahoma"/>
            <family val="2"/>
          </rPr>
          <t>Mailbox Assessment = $5,291, Chaffey Reimbursement = $2,063.</t>
        </r>
      </text>
    </comment>
    <comment ref="M18" authorId="0" shapeId="0" xr:uid="{00000000-0006-0000-0200-000002000000}">
      <text>
        <r>
          <rPr>
            <sz val="9"/>
            <color indexed="81"/>
            <rFont val="Tahoma"/>
            <family val="2"/>
          </rPr>
          <t>Switched from Pacific to JP.</t>
        </r>
      </text>
    </comment>
    <comment ref="M27" authorId="0" shapeId="0" xr:uid="{00000000-0006-0000-0200-000003000000}">
      <text>
        <r>
          <rPr>
            <sz val="9"/>
            <color indexed="81"/>
            <rFont val="Tahoma"/>
            <family val="2"/>
          </rPr>
          <t>Switched from JP to Ramirez in July.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Larry</author>
  </authors>
  <commentList>
    <comment ref="C2" authorId="0" shapeId="0" xr:uid="{00000000-0006-0000-0400-000001000000}">
      <text>
        <r>
          <rPr>
            <sz val="9"/>
            <color indexed="81"/>
            <rFont val="Tahoma"/>
            <family val="2"/>
          </rPr>
          <t>Should be $26,746.75 per BofA stmts dated 12/31/13 and 1/31/14.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Larry</author>
  </authors>
  <commentList>
    <comment ref="L14" authorId="0" shapeId="0" xr:uid="{00000000-0006-0000-0C00-000001000000}">
      <text>
        <r>
          <rPr>
            <sz val="9"/>
            <color indexed="81"/>
            <rFont val="Tahoma"/>
            <family val="2"/>
          </rPr>
          <t>Lot 30 cleanup between renters per Tim DiMarco.</t>
        </r>
      </text>
    </comment>
    <comment ref="L22" authorId="0" shapeId="0" xr:uid="{00000000-0006-0000-0C00-000002000000}">
      <text>
        <r>
          <rPr>
            <sz val="9"/>
            <color indexed="81"/>
            <rFont val="Tahoma"/>
            <family val="2"/>
          </rPr>
          <t>Lot 30 cleanup between renters per Tim DiMarco.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Larry</author>
  </authors>
  <commentList>
    <comment ref="E5" authorId="0" shapeId="0" xr:uid="{00000000-0006-0000-0E00-000001000000}">
      <text>
        <r>
          <rPr>
            <sz val="9"/>
            <color indexed="81"/>
            <rFont val="Tahoma"/>
            <family val="2"/>
          </rPr>
          <t>Late payment of 2018 dues: Lots 17, 18 and 20 per Tim DiMarco.</t>
        </r>
      </text>
    </comment>
    <comment ref="E9" authorId="0" shapeId="0" xr:uid="{00000000-0006-0000-0E00-000002000000}">
      <text>
        <r>
          <rPr>
            <sz val="9"/>
            <color indexed="81"/>
            <rFont val="Tahoma"/>
            <family val="2"/>
          </rPr>
          <t>Ramirez Landscaping for Nov and Dec.</t>
        </r>
      </text>
    </comment>
    <comment ref="G9" authorId="0" shapeId="0" xr:uid="{00000000-0006-0000-0E00-000003000000}">
      <text>
        <r>
          <rPr>
            <sz val="9"/>
            <color indexed="81"/>
            <rFont val="Tahoma"/>
            <family val="2"/>
          </rPr>
          <t>Tim explained that a March payment of $625.37 to JP Landscaping was made in error and returned in the same month.</t>
        </r>
      </text>
    </comment>
    <comment ref="J9" authorId="0" shapeId="0" xr:uid="{00000000-0006-0000-0E00-000004000000}">
      <text>
        <r>
          <rPr>
            <sz val="9"/>
            <color indexed="81"/>
            <rFont val="Tahoma"/>
            <family val="2"/>
          </rPr>
          <t>Ramirez landscaping for Jan, Feb and March.</t>
        </r>
      </text>
    </comment>
    <comment ref="N9" authorId="0" shapeId="0" xr:uid="{00000000-0006-0000-0E00-000005000000}">
      <text>
        <r>
          <rPr>
            <sz val="9"/>
            <color indexed="81"/>
            <rFont val="Tahoma"/>
            <family val="2"/>
          </rPr>
          <t xml:space="preserve">$2,750 to Carlos Camacho.
</t>
        </r>
      </text>
    </comment>
    <comment ref="O9" authorId="0" shapeId="0" xr:uid="{00000000-0006-0000-0E00-000006000000}">
      <text>
        <r>
          <rPr>
            <sz val="9"/>
            <color indexed="81"/>
            <rFont val="Tahoma"/>
            <family val="2"/>
          </rPr>
          <t xml:space="preserve">First payment to Daniel Hernandez for October 2019 service @ $400/month excluding gravel, $124.79 Aquasense for winterization and backflow test. </t>
        </r>
      </text>
    </comment>
    <comment ref="P9" authorId="0" shapeId="0" xr:uid="{00000000-0006-0000-0E00-000007000000}">
      <text>
        <r>
          <rPr>
            <sz val="9"/>
            <color indexed="81"/>
            <rFont val="Tahoma"/>
            <family val="2"/>
          </rPr>
          <t>$550 for November maintenance, December will be paid in January, etc.</t>
        </r>
      </text>
    </comment>
    <comment ref="N10" authorId="0" shapeId="0" xr:uid="{00000000-0006-0000-0E00-000008000000}">
      <text>
        <r>
          <rPr>
            <sz val="9"/>
            <color indexed="81"/>
            <rFont val="Tahoma"/>
            <family val="2"/>
          </rPr>
          <t>Reimbursements to Verner and Fenne for flowers and mulch.</t>
        </r>
      </text>
    </comment>
    <comment ref="O10" authorId="0" shapeId="0" xr:uid="{00000000-0006-0000-0E00-000009000000}">
      <text>
        <r>
          <rPr>
            <sz val="9"/>
            <color indexed="81"/>
            <rFont val="Tahoma"/>
            <family val="2"/>
          </rPr>
          <t>Irrigation winterization and backflow test.</t>
        </r>
      </text>
    </comment>
    <comment ref="M11" authorId="0" shapeId="0" xr:uid="{00000000-0006-0000-0E00-00000A000000}">
      <text>
        <r>
          <rPr>
            <sz val="9"/>
            <color indexed="81"/>
            <rFont val="Tahoma"/>
            <family val="2"/>
          </rPr>
          <t>Pmt to Aquasense for irrigation repair.</t>
        </r>
      </text>
    </comment>
    <comment ref="N11" authorId="0" shapeId="0" xr:uid="{00000000-0006-0000-0E00-00000B000000}">
      <text>
        <r>
          <rPr>
            <sz val="9"/>
            <color indexed="81"/>
            <rFont val="Tahoma"/>
            <family val="2"/>
          </rPr>
          <t>First half of gravel weeding $2,500, solar lights $140, and irrigation repair $277.</t>
        </r>
      </text>
    </comment>
    <comment ref="O11" authorId="0" shapeId="0" xr:uid="{00000000-0006-0000-0E00-00000C000000}">
      <text>
        <r>
          <rPr>
            <sz val="9"/>
            <color indexed="81"/>
            <rFont val="Tahoma"/>
            <family val="2"/>
          </rPr>
          <t>Balance of gravel cleaning.</t>
        </r>
      </text>
    </comment>
    <comment ref="P11" authorId="0" shapeId="0" xr:uid="{00000000-0006-0000-0E00-00000D000000}">
      <text>
        <r>
          <rPr>
            <sz val="9"/>
            <color indexed="81"/>
            <rFont val="Tahoma"/>
            <family val="2"/>
          </rPr>
          <t>$1,300 for add'l gravel, $53.20 for add'l lights, plus $500 for fence permit.</t>
        </r>
      </text>
    </comment>
    <comment ref="O13" authorId="0" shapeId="0" xr:uid="{00000000-0006-0000-0E00-00000E000000}">
      <text>
        <r>
          <rPr>
            <sz val="9"/>
            <color indexed="81"/>
            <rFont val="Tahoma"/>
            <family val="2"/>
          </rPr>
          <t>Higher premium due to increase in coverage from $1M to $2M, includes adjustment for prior month.</t>
        </r>
      </text>
    </comment>
    <comment ref="N17" authorId="0" shapeId="0" xr:uid="{00000000-0006-0000-0E00-00000F000000}">
      <text>
        <r>
          <rPr>
            <sz val="9"/>
            <color indexed="81"/>
            <rFont val="Tahoma"/>
            <family val="2"/>
          </rPr>
          <t xml:space="preserve">Reimbursement to Tim DiMarco for his $263.34 payment of August 12th water bill, and $273.78 for water usage from 7/28-9/25.
</t>
        </r>
      </text>
    </comment>
    <comment ref="M18" authorId="0" shapeId="0" xr:uid="{00000000-0006-0000-0E00-000010000000}">
      <text>
        <r>
          <rPr>
            <sz val="9"/>
            <color indexed="81"/>
            <rFont val="Tahoma"/>
            <family val="2"/>
          </rPr>
          <t>Service discontinued on 9/30, effective 9/11/19 which was the day before the last bill.</t>
        </r>
      </text>
    </comment>
    <comment ref="N20" authorId="0" shapeId="0" xr:uid="{00000000-0006-0000-0E00-000011000000}">
      <text>
        <r>
          <rPr>
            <sz val="9"/>
            <color indexed="81"/>
            <rFont val="Tahoma"/>
            <family val="2"/>
          </rPr>
          <t>Reimburse Michelle for license and user fees for new PLEHOA.org website.</t>
        </r>
      </text>
    </comment>
    <comment ref="N21" authorId="0" shapeId="0" xr:uid="{00000000-0006-0000-0E00-000012000000}">
      <text>
        <r>
          <rPr>
            <sz val="9"/>
            <color indexed="81"/>
            <rFont val="Tahoma"/>
            <family val="2"/>
          </rPr>
          <t>$80 for next year plus $156 to reimburse DiMarco for 2017 and 2018 PO Box pmts.</t>
        </r>
      </text>
    </comment>
    <comment ref="O21" authorId="0" shapeId="0" xr:uid="{00000000-0006-0000-0E00-000013000000}">
      <text>
        <r>
          <rPr>
            <sz val="9"/>
            <color indexed="81"/>
            <rFont val="Tahoma"/>
            <family val="2"/>
          </rPr>
          <t>Projector and clicker for Homeowners's Meeting</t>
        </r>
      </text>
    </comment>
    <comment ref="N22" authorId="0" shapeId="0" xr:uid="{00000000-0006-0000-0E00-000014000000}">
      <text>
        <r>
          <rPr>
            <sz val="9"/>
            <color indexed="81"/>
            <rFont val="Tahoma"/>
            <family val="2"/>
          </rPr>
          <t>Paid by William Verner in September, reimbursed in October.</t>
        </r>
      </text>
    </comment>
    <comment ref="M23" authorId="0" shapeId="0" xr:uid="{00000000-0006-0000-0E00-000015000000}">
      <text>
        <r>
          <rPr>
            <sz val="9"/>
            <color indexed="81"/>
            <rFont val="Tahoma"/>
            <family val="2"/>
          </rPr>
          <t>Reimbursement of ~$150 for Labor Party pizza and other supplies was refused by purchasers.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Larry</author>
  </authors>
  <commentList>
    <comment ref="G9" authorId="0" shapeId="0" xr:uid="{00000000-0006-0000-1000-000001000000}">
      <text>
        <r>
          <rPr>
            <sz val="9"/>
            <color indexed="81"/>
            <rFont val="Tahoma"/>
            <family val="2"/>
          </rPr>
          <t>March 2nd check for Feb services was lost and March 25th replacement check was not cashed in March or April.</t>
        </r>
      </text>
    </comment>
    <comment ref="O9" authorId="0" shapeId="0" xr:uid="{00000000-0006-0000-1000-000002000000}">
      <text>
        <r>
          <rPr>
            <sz val="9"/>
            <color indexed="81"/>
            <rFont val="Tahoma"/>
            <family val="2"/>
          </rPr>
          <t>Projected $30/month increase for maintenance.</t>
        </r>
      </text>
    </comment>
    <comment ref="G10" authorId="0" shapeId="0" xr:uid="{00000000-0006-0000-1000-000003000000}">
      <text>
        <r>
          <rPr>
            <sz val="9"/>
            <color indexed="81"/>
            <rFont val="Tahoma"/>
            <family val="2"/>
          </rPr>
          <t>Spring flowers &amp; Mulch: was scheduled for March but delayed due to virus.</t>
        </r>
      </text>
    </comment>
    <comment ref="I10" authorId="0" shapeId="0" xr:uid="{00000000-0006-0000-1000-000004000000}">
      <text>
        <r>
          <rPr>
            <sz val="9"/>
            <color indexed="81"/>
            <rFont val="Tahoma"/>
            <family val="2"/>
          </rPr>
          <t>$256.03 for Spring flowers + $48.82 to recharge irrigation system.</t>
        </r>
      </text>
    </comment>
    <comment ref="J10" authorId="0" shapeId="0" xr:uid="{00000000-0006-0000-1000-000005000000}">
      <text>
        <r>
          <rPr>
            <sz val="9"/>
            <color indexed="81"/>
            <rFont val="Tahoma"/>
            <family val="2"/>
          </rPr>
          <t>4 Yards of mulch for entrance paid to Daniel Hernendez.</t>
        </r>
      </text>
    </comment>
    <comment ref="K10" authorId="0" shapeId="0" xr:uid="{00000000-0006-0000-1000-000006000000}">
      <text>
        <r>
          <rPr>
            <sz val="9"/>
            <color indexed="81"/>
            <rFont val="Tahoma"/>
            <family val="2"/>
          </rPr>
          <t>Fence cleaning budgeted at $750, but was done by a volunteer in June.</t>
        </r>
      </text>
    </comment>
    <comment ref="O10" authorId="0" shapeId="0" xr:uid="{F33AE959-FCF8-4B09-A5D8-C9A70D51FADE}">
      <text>
        <r>
          <rPr>
            <sz val="9"/>
            <color indexed="81"/>
            <rFont val="Tahoma"/>
            <family val="2"/>
          </rPr>
          <t>Fall flowers, irrigation winterization and backflow test.</t>
        </r>
      </text>
    </comment>
    <comment ref="F11" authorId="0" shapeId="0" xr:uid="{00000000-0006-0000-1000-000008000000}">
      <text>
        <r>
          <rPr>
            <sz val="9"/>
            <color indexed="81"/>
            <rFont val="Tahoma"/>
            <family val="2"/>
          </rPr>
          <t>16 yards of add'l gravel in common area.</t>
        </r>
      </text>
    </comment>
    <comment ref="G11" authorId="0" shapeId="0" xr:uid="{00000000-0006-0000-1000-000009000000}">
      <text>
        <r>
          <rPr>
            <sz val="9"/>
            <color indexed="81"/>
            <rFont val="Tahoma"/>
            <family val="2"/>
          </rPr>
          <t>Branch removal, light improvement, treehouse removal, and/or other depending on priorities and volunteer support. Was scheduled for March but delayed due to virus.</t>
        </r>
      </text>
    </comment>
    <comment ref="J11" authorId="0" shapeId="0" xr:uid="{00000000-0006-0000-1000-00000A000000}">
      <text>
        <r>
          <rPr>
            <sz val="9"/>
            <color indexed="81"/>
            <rFont val="Tahoma"/>
            <family val="2"/>
          </rPr>
          <t>$150 to cut back weeds, trees and blackberry bushes between Lots 16 &amp; 17 by Daniel Hernandez, plus $653.30 for mailbox repair, to be reimbursed by Amazon in July.</t>
        </r>
      </text>
    </comment>
    <comment ref="K11" authorId="0" shapeId="0" xr:uid="{00000000-0006-0000-1000-00000B000000}">
      <text>
        <r>
          <rPr>
            <sz val="9"/>
            <color indexed="81"/>
            <rFont val="Tahoma"/>
            <family val="2"/>
          </rPr>
          <t>Reimbursement from Amazon for the June expense to repair mailbox kiosk.</t>
        </r>
      </text>
    </comment>
    <comment ref="M11" authorId="0" shapeId="0" xr:uid="{00000000-0006-0000-1000-00000C000000}">
      <text>
        <r>
          <rPr>
            <sz val="9"/>
            <color indexed="81"/>
            <rFont val="Tahoma"/>
            <family val="2"/>
          </rPr>
          <t xml:space="preserve">$700 to Daniel Hernandez to remove 2 treehouses. 
</t>
        </r>
      </text>
    </comment>
    <comment ref="O11" authorId="0" shapeId="0" xr:uid="{E065122D-38D0-475C-A53F-024182858814}">
      <text>
        <r>
          <rPr>
            <sz val="9"/>
            <color indexed="81"/>
            <rFont val="Tahoma"/>
            <family val="2"/>
          </rPr>
          <t>~$100 to Aquasense to optimize irrigation system and evaluate possible reduction in meter size. $200 for other TBD.</t>
        </r>
      </text>
    </comment>
    <comment ref="G15" authorId="0" shapeId="0" xr:uid="{00000000-0006-0000-1000-00000E000000}">
      <text>
        <r>
          <rPr>
            <sz val="9"/>
            <color indexed="81"/>
            <rFont val="Tahoma"/>
            <family val="2"/>
          </rPr>
          <t>Includes $35 fee for Stop Payment of check #1004 to Daniel Hernandez.</t>
        </r>
      </text>
    </comment>
    <comment ref="J15" authorId="0" shapeId="0" xr:uid="{00000000-0006-0000-1000-00000F000000}">
      <text>
        <r>
          <rPr>
            <sz val="9"/>
            <color indexed="81"/>
            <rFont val="Tahoma"/>
            <family val="2"/>
          </rPr>
          <t>Includes $36.50 for 80 more checks.</t>
        </r>
      </text>
    </comment>
    <comment ref="M23" authorId="0" shapeId="0" xr:uid="{00000000-0006-0000-1000-000010000000}">
      <text>
        <r>
          <rPr>
            <sz val="9"/>
            <color indexed="81"/>
            <rFont val="Tahoma"/>
            <family val="2"/>
          </rPr>
          <t>$300 won't be spent for for 2020 Labor Day Party, cancelled due to the pandemic.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Larry Raklios</author>
    <author>Larry</author>
  </authors>
  <commentList>
    <comment ref="P9" authorId="0" shapeId="0" xr:uid="{36AAEF3D-F26C-42E3-A1ED-02CED22D1588}">
      <text>
        <r>
          <rPr>
            <sz val="9"/>
            <color indexed="81"/>
            <rFont val="Tahoma"/>
            <family val="2"/>
          </rPr>
          <t>$550 paid in January 2022.</t>
        </r>
      </text>
    </comment>
    <comment ref="H10" authorId="1" shapeId="0" xr:uid="{00000000-0006-0000-1100-000002000000}">
      <text>
        <r>
          <rPr>
            <sz val="9"/>
            <color indexed="81"/>
            <rFont val="Tahoma"/>
            <family val="2"/>
          </rPr>
          <t>Spring flowers, mulch and irrigation system restart.</t>
        </r>
      </text>
    </comment>
    <comment ref="K10" authorId="1" shapeId="0" xr:uid="{00000000-0006-0000-1100-000003000000}">
      <text>
        <r>
          <rPr>
            <sz val="9"/>
            <color indexed="81"/>
            <rFont val="Tahoma"/>
            <family val="2"/>
          </rPr>
          <t>Fence cleaning done by volunteers in December.</t>
        </r>
      </text>
    </comment>
    <comment ref="P10" authorId="0" shapeId="0" xr:uid="{ABA55583-6260-4A30-80F5-99C28D792642}">
      <text>
        <r>
          <rPr>
            <sz val="9"/>
            <color indexed="81"/>
            <rFont val="Tahoma"/>
            <family val="2"/>
          </rPr>
          <t>$133.94 reimbursement to William Verner for payments made to Aquasense for Backflow test ($55.39) and winterization ($78.55) delayed to April 2022.</t>
        </r>
      </text>
    </comment>
    <comment ref="F11" authorId="1" shapeId="0" xr:uid="{00000000-0006-0000-1100-000006000000}">
      <text>
        <r>
          <rPr>
            <sz val="9"/>
            <color indexed="81"/>
            <rFont val="Tahoma"/>
            <family val="2"/>
          </rPr>
          <t>Branch removal, light improvement, and/or other depending on priorities and volunteer support.</t>
        </r>
      </text>
    </comment>
    <comment ref="P11" authorId="0" shapeId="0" xr:uid="{F63B28A8-4ED6-4BCD-A434-40CD275C89B1}">
      <text>
        <r>
          <rPr>
            <sz val="9"/>
            <color indexed="81"/>
            <rFont val="Tahoma"/>
            <family val="2"/>
          </rPr>
          <t>Estimated $200 reimbursement to Marlowe Fenne for fence repair with payment delayed to April 2022.</t>
        </r>
      </text>
    </comment>
    <comment ref="F17" authorId="1" shapeId="0" xr:uid="{00000000-0006-0000-1100-000007000000}">
      <text>
        <r>
          <rPr>
            <sz val="9"/>
            <color indexed="81"/>
            <rFont val="Tahoma"/>
            <family val="2"/>
          </rPr>
          <t>Would be ~$50 ($25/month) for fixed fee if we reduce meter from 1" to 3/4".</t>
        </r>
      </text>
    </comment>
    <comment ref="P17" authorId="0" shapeId="0" xr:uid="{AAA2337A-71EA-4955-824F-94C66CD3AB4D}">
      <text>
        <r>
          <rPr>
            <sz val="9"/>
            <color indexed="81"/>
            <rFont val="Tahoma"/>
            <family val="2"/>
          </rPr>
          <t>~7/20 - 9/22</t>
        </r>
      </text>
    </comment>
    <comment ref="P20" authorId="0" shapeId="0" xr:uid="{063CD13D-2987-469D-AD46-7747934B0756}">
      <text>
        <r>
          <rPr>
            <sz val="9"/>
            <color indexed="81"/>
            <rFont val="Tahoma"/>
            <family val="2"/>
          </rPr>
          <t>$379.19 reimbursement to Michelle Verner for Website renewal delayed to April 2022.</t>
        </r>
      </text>
    </comment>
    <comment ref="P21" authorId="0" shapeId="0" xr:uid="{E7AC80D6-E1A2-479E-8128-1365F94B2A95}">
      <text>
        <r>
          <rPr>
            <sz val="9"/>
            <color indexed="81"/>
            <rFont val="Tahoma"/>
            <family val="2"/>
          </rPr>
          <t>$198 reimbursement to Marlowe Fenne for PO Box renewal delayed to February 2022.</t>
        </r>
      </text>
    </comment>
    <comment ref="P22" authorId="0" shapeId="0" xr:uid="{ECFACB37-6E1A-431E-8308-67FAE29E2414}">
      <text>
        <r>
          <rPr>
            <sz val="9"/>
            <color indexed="81"/>
            <rFont val="Tahoma"/>
            <family val="2"/>
          </rPr>
          <t>$10 reimbursement to William Verner for State Filing Fees not requested.</t>
        </r>
      </text>
    </comment>
  </commentList>
</comments>
</file>

<file path=xl/sharedStrings.xml><?xml version="1.0" encoding="utf-8"?>
<sst xmlns="http://schemas.openxmlformats.org/spreadsheetml/2006/main" count="1696" uniqueCount="415">
  <si>
    <t>2019 Planned</t>
  </si>
  <si>
    <t>Beginning Balance</t>
  </si>
  <si>
    <t>Dues (32@375)</t>
  </si>
  <si>
    <t>Expenses</t>
  </si>
  <si>
    <t>Insurance</t>
  </si>
  <si>
    <t>State Farm</t>
  </si>
  <si>
    <t xml:space="preserve">Landscaping </t>
  </si>
  <si>
    <t>Landscape Maintenance</t>
  </si>
  <si>
    <t>Monument Plants &amp; Repair</t>
  </si>
  <si>
    <t>General Repair</t>
  </si>
  <si>
    <t>*New Fence Installation</t>
  </si>
  <si>
    <t>Banking Fees</t>
  </si>
  <si>
    <t>Monthly Fees</t>
  </si>
  <si>
    <t>New Checks</t>
  </si>
  <si>
    <t>-</t>
  </si>
  <si>
    <t>Utilities</t>
  </si>
  <si>
    <t>Woodinville Water</t>
  </si>
  <si>
    <t>Puget Sound Energy</t>
  </si>
  <si>
    <t>Miscellaneous</t>
  </si>
  <si>
    <t>Federal Income Tax</t>
  </si>
  <si>
    <t>Post Office Box</t>
  </si>
  <si>
    <t>Postage and Supplies</t>
  </si>
  <si>
    <t>Non-Profit Report</t>
  </si>
  <si>
    <t>State HOA Filling Fees</t>
  </si>
  <si>
    <t>Total Expenses</t>
  </si>
  <si>
    <t>*  Note Excess water bill in 2014 was a result of irrigation pipe break</t>
  </si>
  <si>
    <t>** increased fence costs in 2015 was installation of new PVC fencing</t>
  </si>
  <si>
    <t>*** Landscape and maitenance fees have increases by over 37% per month</t>
  </si>
  <si>
    <t>**** Monument planting and cleaning will need to be completed in 2019</t>
  </si>
  <si>
    <t>Tree Removal (Front Entrance)</t>
  </si>
  <si>
    <t>Website, Email, IT</t>
  </si>
  <si>
    <t>Jan</t>
  </si>
  <si>
    <t>Feb</t>
  </si>
  <si>
    <t>March</t>
  </si>
  <si>
    <t>April</t>
  </si>
  <si>
    <t>May</t>
  </si>
  <si>
    <t>June</t>
  </si>
  <si>
    <t>July</t>
  </si>
  <si>
    <t>August</t>
  </si>
  <si>
    <t>Sept.</t>
  </si>
  <si>
    <t>Oct.</t>
  </si>
  <si>
    <t>Feb accidental payment to JP Landscaping 625.37 returned</t>
  </si>
  <si>
    <t>March accidental payment to JP Landscaping returned</t>
  </si>
  <si>
    <t>WWC bill paid by Tim in August</t>
  </si>
  <si>
    <t>Receipts</t>
  </si>
  <si>
    <t>Utilities:</t>
  </si>
  <si>
    <t>Banking Fees:</t>
  </si>
  <si>
    <t xml:space="preserve">Landscaping: </t>
  </si>
  <si>
    <t>Insurance:</t>
  </si>
  <si>
    <t>Total Receipts</t>
  </si>
  <si>
    <t>Ending Balance</t>
  </si>
  <si>
    <t>Nov.</t>
  </si>
  <si>
    <t>Dec.</t>
  </si>
  <si>
    <t>Notes</t>
  </si>
  <si>
    <t>Projected Activity Shown in Green</t>
  </si>
  <si>
    <t>2019 Projected</t>
  </si>
  <si>
    <t>Miscel.:</t>
  </si>
  <si>
    <t>Ending Balance from Prior Year</t>
  </si>
  <si>
    <t>Unreconciled Difference</t>
  </si>
  <si>
    <t>Receiepts</t>
  </si>
  <si>
    <t>2019 Budget</t>
  </si>
  <si>
    <t>Actual</t>
  </si>
  <si>
    <t>Budget</t>
  </si>
  <si>
    <t>Dues (Normally 32 lots @ $375)</t>
  </si>
  <si>
    <t>New Fence Installation</t>
  </si>
  <si>
    <t>Dues &amp; Interest</t>
  </si>
  <si>
    <t>Website, Email, IT, other</t>
  </si>
  <si>
    <t>Full Year</t>
  </si>
  <si>
    <t>2015 Actual</t>
  </si>
  <si>
    <t>2016 Actual</t>
  </si>
  <si>
    <t>2014 Actual</t>
  </si>
  <si>
    <t>Dues History</t>
  </si>
  <si>
    <t>Applied</t>
  </si>
  <si>
    <t>Interest</t>
  </si>
  <si>
    <t>Should be:</t>
  </si>
  <si>
    <t>Difference:</t>
  </si>
  <si>
    <t>Date</t>
  </si>
  <si>
    <t>Amount</t>
  </si>
  <si>
    <t>Dues</t>
  </si>
  <si>
    <t>Water</t>
  </si>
  <si>
    <t>Bank</t>
  </si>
  <si>
    <t>Checks</t>
  </si>
  <si>
    <t>Other</t>
  </si>
  <si>
    <t>JP Landscaping</t>
  </si>
  <si>
    <t>Harland Clarke</t>
  </si>
  <si>
    <t>PSE</t>
  </si>
  <si>
    <t>Banner Bank</t>
  </si>
  <si>
    <t>Genaco Maldonado</t>
  </si>
  <si>
    <t>Ramirez Landscaping</t>
  </si>
  <si>
    <t># of Lots Paid</t>
  </si>
  <si>
    <t>Dues/Lot</t>
  </si>
  <si>
    <t>Jan, 1/2Feb, Mar &amp; Apr</t>
  </si>
  <si>
    <t>Check Register</t>
  </si>
  <si>
    <t>Balance</t>
  </si>
  <si>
    <t>Insur</t>
  </si>
  <si>
    <t>Landscp</t>
  </si>
  <si>
    <t>Electric</t>
  </si>
  <si>
    <t>Add'l Info</t>
  </si>
  <si>
    <t xml:space="preserve">Beginning Balance </t>
  </si>
  <si>
    <t>Bal Tsf to Banner</t>
  </si>
  <si>
    <t>Balance on 9/19/19</t>
  </si>
  <si>
    <t>Balance on 12/31/18</t>
  </si>
  <si>
    <t>Balance on 12/31/17</t>
  </si>
  <si>
    <t>BofA</t>
  </si>
  <si>
    <t>Non-Profit Report?</t>
  </si>
  <si>
    <t>USPS</t>
  </si>
  <si>
    <t>Payee or Source</t>
  </si>
  <si>
    <t>New Fence</t>
  </si>
  <si>
    <t>RA Brown Backflow</t>
  </si>
  <si>
    <t>Economy Fnc Deposit</t>
  </si>
  <si>
    <t>USPS for PO Box</t>
  </si>
  <si>
    <t>Check from Prior Tab</t>
  </si>
  <si>
    <t>Econony Fence Bal.</t>
  </si>
  <si>
    <t>Staples</t>
  </si>
  <si>
    <t>Office Supplies</t>
  </si>
  <si>
    <t>BofA (closed Sav Acct)</t>
  </si>
  <si>
    <t>Stamps</t>
  </si>
  <si>
    <t>Target</t>
  </si>
  <si>
    <t>(Short) or Extra Pmts</t>
  </si>
  <si>
    <t>BofA (overdraft fee)</t>
  </si>
  <si>
    <t>DiMarco Took over from Krafft</t>
  </si>
  <si>
    <t>Income</t>
  </si>
  <si>
    <t>92-'95</t>
  </si>
  <si>
    <t>Assesmt &amp; Chaffey</t>
  </si>
  <si>
    <t>Not sure</t>
  </si>
  <si>
    <t>Total Income</t>
  </si>
  <si>
    <t>Expense</t>
  </si>
  <si>
    <t>Check:</t>
  </si>
  <si>
    <t>Insur.</t>
  </si>
  <si>
    <t>Details of Routine Expenses</t>
  </si>
  <si>
    <t>Routine Expense</t>
  </si>
  <si>
    <t>Non-Rout. Expense</t>
  </si>
  <si>
    <t>Total Expense</t>
  </si>
  <si>
    <t>% of Total Expenses:</t>
  </si>
  <si>
    <t>Nov</t>
  </si>
  <si>
    <t>Ck #</t>
  </si>
  <si>
    <t>Monument Lands.</t>
  </si>
  <si>
    <t>PO Box</t>
  </si>
  <si>
    <t>Irrigation Repair</t>
  </si>
  <si>
    <t>BofA Interest</t>
  </si>
  <si>
    <t>Misc</t>
  </si>
  <si>
    <t>Not Identified</t>
  </si>
  <si>
    <t>Check #</t>
  </si>
  <si>
    <t>Check from Prior Tab:</t>
  </si>
  <si>
    <t>Apprvd</t>
  </si>
  <si>
    <t>Old Fence Repair (unsuccessful)</t>
  </si>
  <si>
    <t>Nov &amp; Dec</t>
  </si>
  <si>
    <t>SOS Non-Profit Rpt</t>
  </si>
  <si>
    <t>Non-Profit Rpt</t>
  </si>
  <si>
    <t>Total Dues</t>
  </si>
  <si>
    <t>Lost Revenue from under-deposits:</t>
  </si>
  <si>
    <t>Difference from Budgeted Ending Balance:</t>
  </si>
  <si>
    <t>Details of Non-Routine Expenses</t>
  </si>
  <si>
    <r>
      <rPr>
        <sz val="12"/>
        <color rgb="FFFF0000"/>
        <rFont val="Calibri"/>
        <family val="2"/>
        <scheme val="minor"/>
      </rPr>
      <t>(Under)</t>
    </r>
    <r>
      <rPr>
        <sz val="12"/>
        <color theme="1"/>
        <rFont val="Calibri"/>
        <family val="2"/>
        <scheme val="minor"/>
      </rPr>
      <t xml:space="preserve"> or Over 32 lots/year: </t>
    </r>
  </si>
  <si>
    <t>Debit</t>
  </si>
  <si>
    <t>BofA Svc Fee (Checks)</t>
  </si>
  <si>
    <t>Supplies?</t>
  </si>
  <si>
    <t>SOS</t>
  </si>
  <si>
    <t>Backflow Test</t>
  </si>
  <si>
    <t>Social Events (Labor Day Party)</t>
  </si>
  <si>
    <t>Payee Unknown</t>
  </si>
  <si>
    <t>Fence Repair</t>
  </si>
  <si>
    <t>Social Events: Labor Day Party</t>
  </si>
  <si>
    <t>2018 Actual</t>
  </si>
  <si>
    <t>Ending Balance by Month</t>
  </si>
  <si>
    <t>Mar</t>
  </si>
  <si>
    <t>Apr</t>
  </si>
  <si>
    <t>Jun</t>
  </si>
  <si>
    <t>Jul</t>
  </si>
  <si>
    <t>Aug</t>
  </si>
  <si>
    <t>Sep</t>
  </si>
  <si>
    <t>Oct</t>
  </si>
  <si>
    <t>Dec</t>
  </si>
  <si>
    <r>
      <t xml:space="preserve">Actual as Reported to HOA on 1/19/19 </t>
    </r>
    <r>
      <rPr>
        <b/>
        <sz val="11"/>
        <color rgb="FFFF0000"/>
        <rFont val="Calibri"/>
        <family val="2"/>
        <scheme val="minor"/>
      </rPr>
      <t>(Many of the numbers are wrong)</t>
    </r>
  </si>
  <si>
    <t># Collected:</t>
  </si>
  <si>
    <t>Dues: 32 lots @</t>
  </si>
  <si>
    <t>Paradise Lake Estates Financials: 2014 - 2020</t>
  </si>
  <si>
    <t>Paradise Lake Estates Financials: 2018 - 2020</t>
  </si>
  <si>
    <t>Annual Dues/Lot:</t>
  </si>
  <si>
    <t>State Farm (2)</t>
  </si>
  <si>
    <t>JP Landscaping's rate when they suspended us in June 2018:</t>
  </si>
  <si>
    <t>Ramirez Landscaping's Rate when he suspended us in December 2018:</t>
  </si>
  <si>
    <t>Increase from 2017 to 2019</t>
  </si>
  <si>
    <t>Dues (Note 1)</t>
  </si>
  <si>
    <t xml:space="preserve">2017 Actual </t>
  </si>
  <si>
    <t>Carlos Camacho's rate when he quit showing up in June 2019:</t>
  </si>
  <si>
    <t>2016 Checks and Deposits</t>
  </si>
  <si>
    <t>2015 Beginning Balance</t>
  </si>
  <si>
    <t>2015 Checks and  Deposits</t>
  </si>
  <si>
    <t>2014 Beginning Balance</t>
  </si>
  <si>
    <t>2014 Checks and Deposits</t>
  </si>
  <si>
    <t>2016 Beginning Balance</t>
  </si>
  <si>
    <t>2017 Checks and Deposits</t>
  </si>
  <si>
    <t>2017 Beginning Balance</t>
  </si>
  <si>
    <t>2018 Checks and Deposits</t>
  </si>
  <si>
    <t>2018 Beginning Balance</t>
  </si>
  <si>
    <t>2019 Checks and Deposits</t>
  </si>
  <si>
    <t>2019 Beginning Balance</t>
  </si>
  <si>
    <t>2020 Beginning Balance</t>
  </si>
  <si>
    <t>Ending Balance *</t>
  </si>
  <si>
    <t>* Historical Ending Balances per bank statements, plus a $10K CD in 2003.</t>
  </si>
  <si>
    <t>Dues for 32 lots: (1)</t>
  </si>
  <si>
    <t>Copies of Bk Stmts</t>
  </si>
  <si>
    <t>Balance on 9/29/19</t>
  </si>
  <si>
    <t>Michelle Verner</t>
  </si>
  <si>
    <t>Reimb for WIX Website</t>
  </si>
  <si>
    <t>William Verner</t>
  </si>
  <si>
    <t>Reimb for SOS Pmt</t>
  </si>
  <si>
    <t>Reimb for monument plants and mulch</t>
  </si>
  <si>
    <t>Irrigat. Repair</t>
  </si>
  <si>
    <t>Mailbox Repair</t>
  </si>
  <si>
    <t>Storm Cleanup</t>
  </si>
  <si>
    <t>Tree Removal</t>
  </si>
  <si>
    <t>Land &amp; Monumt Enhance</t>
  </si>
  <si>
    <t>New Mailboxes</t>
  </si>
  <si>
    <t>Mailbox Repair or Replace</t>
  </si>
  <si>
    <t>Security (Easterly)</t>
  </si>
  <si>
    <t>Tree Remov. (Lot 15)</t>
  </si>
  <si>
    <t>Total</t>
  </si>
  <si>
    <t>Description of Other</t>
  </si>
  <si>
    <t>Expense History</t>
  </si>
  <si>
    <t>Income, Expense &amp; Balance History</t>
  </si>
  <si>
    <t>PO Box, Bank Fees, other</t>
  </si>
  <si>
    <t>Surplus/(Deficit) = Planned vs. Projected EOY Bal.</t>
  </si>
  <si>
    <t>Credit</t>
  </si>
  <si>
    <t>Refund of Jan. fee</t>
  </si>
  <si>
    <t>Lot 26 ($5 short)</t>
  </si>
  <si>
    <t>Postage</t>
  </si>
  <si>
    <t>Dues: Nominally 32 lots @ $375 = $12,000 (1)</t>
  </si>
  <si>
    <r>
      <t xml:space="preserve">(1) </t>
    </r>
    <r>
      <rPr>
        <b/>
        <sz val="12"/>
        <color theme="1"/>
        <rFont val="Calibri"/>
        <family val="2"/>
        <scheme val="minor"/>
      </rPr>
      <t>Dues</t>
    </r>
    <r>
      <rPr>
        <sz val="12"/>
        <color theme="1"/>
        <rFont val="Calibri"/>
        <family val="2"/>
        <scheme val="minor"/>
      </rPr>
      <t xml:space="preserve"> deposited fell short overall and varied by year:</t>
    </r>
  </si>
  <si>
    <r>
      <t xml:space="preserve">(2) </t>
    </r>
    <r>
      <rPr>
        <b/>
        <sz val="12"/>
        <color theme="1"/>
        <rFont val="Calibri"/>
        <family val="2"/>
        <scheme val="minor"/>
      </rPr>
      <t xml:space="preserve">Insurance </t>
    </r>
    <r>
      <rPr>
        <sz val="12"/>
        <color theme="1"/>
        <rFont val="Calibri"/>
        <family val="2"/>
        <scheme val="minor"/>
      </rPr>
      <t>lapsed at the end of 2015 due to lack of payment. Coverage resumed in 2016 with initiation of automatic monthly payments.</t>
    </r>
  </si>
  <si>
    <t>Landscape Cost Increase from 2017 to 2019</t>
  </si>
  <si>
    <t>Prop</t>
  </si>
  <si>
    <t>Water and Electricity</t>
  </si>
  <si>
    <t>2020 Budget</t>
  </si>
  <si>
    <t>JP Landscape</t>
  </si>
  <si>
    <r>
      <t xml:space="preserve">(1) </t>
    </r>
    <r>
      <rPr>
        <b/>
        <sz val="12"/>
        <color theme="1"/>
        <rFont val="Calibri"/>
        <family val="2"/>
        <scheme val="minor"/>
      </rPr>
      <t>Dues</t>
    </r>
    <r>
      <rPr>
        <sz val="12"/>
        <color theme="1"/>
        <rFont val="Calibri"/>
        <family val="2"/>
        <scheme val="minor"/>
      </rPr>
      <t xml:space="preserve"> for 2018 + 2019 overall were late &amp; 1 lot short:</t>
    </r>
  </si>
  <si>
    <t>Aquasense</t>
  </si>
  <si>
    <t>Lot 30 Cleanup</t>
  </si>
  <si>
    <t>50% Deposit for Gravel Weeding</t>
  </si>
  <si>
    <t>Tim DiMarco</t>
  </si>
  <si>
    <t>Marlowe Fenne</t>
  </si>
  <si>
    <t>Reimb for Monument Lights, Mulch, chain</t>
  </si>
  <si>
    <t>Repair and Replacement Reserve Calculation</t>
  </si>
  <si>
    <t>Fence (30 yr life)</t>
  </si>
  <si>
    <t>Sign (30 year life)</t>
  </si>
  <si>
    <t>Original Cost</t>
  </si>
  <si>
    <t>Year Acquired</t>
  </si>
  <si>
    <t>Annual Res. Contrib.</t>
  </si>
  <si>
    <t>Total Annual R&amp;R Reserve Contribution</t>
  </si>
  <si>
    <t>Year</t>
  </si>
  <si>
    <t>Repl. Cost Estimate</t>
  </si>
  <si>
    <t>Reimb for 2017 and 2018 PO Box Pmt</t>
  </si>
  <si>
    <t>Monthly Fees &amp; New Checks</t>
  </si>
  <si>
    <t>Ck#</t>
  </si>
  <si>
    <t>Great Northwest Ext</t>
  </si>
  <si>
    <t>aka Carlos Camacho</t>
  </si>
  <si>
    <t>void</t>
  </si>
  <si>
    <t>Jan 3 &amp; 14</t>
  </si>
  <si>
    <t>Deposit</t>
  </si>
  <si>
    <t>PO Box, Bank Fees, Other</t>
  </si>
  <si>
    <t>Post Office Box, Postage, Supplies</t>
  </si>
  <si>
    <t>Fees &amp; Checks</t>
  </si>
  <si>
    <t>Post Office Box, Postage &amp; Supplies</t>
  </si>
  <si>
    <t>Post Office Box, Postage &amp; Other</t>
  </si>
  <si>
    <t>Fees &amp; New Checks</t>
  </si>
  <si>
    <t>Fence</t>
  </si>
  <si>
    <t>Dues:</t>
  </si>
  <si>
    <t>Mailbox Kiosks (40 yr life)</t>
  </si>
  <si>
    <t>Daniel Hernandez</t>
  </si>
  <si>
    <t>Winterization and Backflow Test</t>
  </si>
  <si>
    <t>Balance due for Gravel Weeding</t>
  </si>
  <si>
    <t>Maintenance:</t>
  </si>
  <si>
    <t>Monthly</t>
  </si>
  <si>
    <t>Monthly Maintenance</t>
  </si>
  <si>
    <t>Annual Maintenance</t>
  </si>
  <si>
    <t>Periodic Maintenance &amp; Repair</t>
  </si>
  <si>
    <t>Annual</t>
  </si>
  <si>
    <t>Periodic</t>
  </si>
  <si>
    <t>Maintenance</t>
  </si>
  <si>
    <t xml:space="preserve">Periodic </t>
  </si>
  <si>
    <t>Monthly &amp; Annual Maint</t>
  </si>
  <si>
    <t>Gravel, treehouses removal, other.</t>
  </si>
  <si>
    <t>PO Box, Postage, HOA Fees, Other</t>
  </si>
  <si>
    <t>Periodic Maint. &amp; Repair</t>
  </si>
  <si>
    <t>Periodic Maintenance</t>
  </si>
  <si>
    <t>Periodic Maintance</t>
  </si>
  <si>
    <t>Fence Replacement</t>
  </si>
  <si>
    <t>Water &amp; Electricity</t>
  </si>
  <si>
    <t>2020 Bud</t>
  </si>
  <si>
    <t>Monthly (2)</t>
  </si>
  <si>
    <t>Annual (3)</t>
  </si>
  <si>
    <t>Periodic (4)</t>
  </si>
  <si>
    <t>State Farm (5)</t>
  </si>
  <si>
    <t>Post Office Box, Postage &amp; Other (6)</t>
  </si>
  <si>
    <t>Social: Labor Day Party (7)</t>
  </si>
  <si>
    <r>
      <t xml:space="preserve">(2) </t>
    </r>
    <r>
      <rPr>
        <b/>
        <sz val="12"/>
        <color theme="1"/>
        <rFont val="Calibri"/>
        <family val="2"/>
      </rPr>
      <t xml:space="preserve">Monthly maintenance </t>
    </r>
    <r>
      <rPr>
        <sz val="12"/>
        <color theme="1"/>
        <rFont val="Calibri"/>
        <family val="2"/>
      </rPr>
      <t>includes January pmt to Ramirez for Nov &amp; December, June pmt to Ramirez for Jan, Feb and March, October pmt of $2,750 to Carlos Camacho for April - early July, and pmts to new landscape provider for maintaining the common areas for Oct ($400 in November) and Nov ($550 in December).</t>
    </r>
  </si>
  <si>
    <r>
      <t xml:space="preserve">(5) </t>
    </r>
    <r>
      <rPr>
        <b/>
        <sz val="12"/>
        <color theme="1"/>
        <rFont val="Calibri"/>
        <family val="2"/>
        <scheme val="minor"/>
      </rPr>
      <t>Insurance</t>
    </r>
    <r>
      <rPr>
        <sz val="12"/>
        <color theme="1"/>
        <rFont val="Calibri"/>
        <family val="2"/>
        <scheme val="minor"/>
      </rPr>
      <t xml:space="preserve"> liability coverage was increased to $2M in September.</t>
    </r>
  </si>
  <si>
    <r>
      <t xml:space="preserve">(1) 2018 </t>
    </r>
    <r>
      <rPr>
        <b/>
        <sz val="12"/>
        <color theme="1"/>
        <rFont val="Calibri"/>
        <family val="2"/>
        <scheme val="minor"/>
      </rPr>
      <t xml:space="preserve">dues </t>
    </r>
    <r>
      <rPr>
        <sz val="12"/>
        <color theme="1"/>
        <rFont val="Calibri"/>
        <family val="2"/>
        <scheme val="minor"/>
      </rPr>
      <t>payments for three lots were deposited in January 2019.</t>
    </r>
  </si>
  <si>
    <r>
      <t xml:space="preserve">(3) </t>
    </r>
    <r>
      <rPr>
        <b/>
        <sz val="12"/>
        <color theme="1"/>
        <rFont val="Calibri"/>
        <family val="2"/>
      </rPr>
      <t>Annual maintenance i</t>
    </r>
    <r>
      <rPr>
        <sz val="12"/>
        <color theme="1"/>
        <rFont val="Calibri"/>
        <family val="2"/>
      </rPr>
      <t>ncludes $308 for flowers and mulch for monument and $125 for irrigation winterization and backflow test.</t>
    </r>
  </si>
  <si>
    <r>
      <t xml:space="preserve">(6) </t>
    </r>
    <r>
      <rPr>
        <b/>
        <sz val="12"/>
        <color theme="1"/>
        <rFont val="Calibri"/>
        <family val="2"/>
        <scheme val="minor"/>
      </rPr>
      <t xml:space="preserve">Other </t>
    </r>
    <r>
      <rPr>
        <sz val="12"/>
        <color theme="1"/>
        <rFont val="Calibri"/>
        <family val="2"/>
        <scheme val="minor"/>
      </rPr>
      <t>Includes $156 reimbursement to Tim DiMarco for 2017 and 2018 PO Box payments made from his personal account.</t>
    </r>
  </si>
  <si>
    <r>
      <t xml:space="preserve">(7) </t>
    </r>
    <r>
      <rPr>
        <b/>
        <sz val="12"/>
        <color theme="1"/>
        <rFont val="Calibri"/>
        <family val="2"/>
        <scheme val="minor"/>
      </rPr>
      <t>Labor Day Party</t>
    </r>
    <r>
      <rPr>
        <sz val="12"/>
        <color theme="1"/>
        <rFont val="Calibri"/>
        <family val="2"/>
        <scheme val="minor"/>
      </rPr>
      <t xml:space="preserve"> food and other items were donated by neighbors.</t>
    </r>
  </si>
  <si>
    <t>Monthly: mow, edge, blow, weed (2)</t>
  </si>
  <si>
    <t>Annual: flowers, mulch, clean fence, etc. (3)</t>
  </si>
  <si>
    <t>Periodic repair, refresh, remove, etc. (4)</t>
  </si>
  <si>
    <t>Liability (5)</t>
  </si>
  <si>
    <r>
      <t xml:space="preserve">(2) </t>
    </r>
    <r>
      <rPr>
        <b/>
        <sz val="12"/>
        <rFont val="Calibri"/>
        <family val="2"/>
        <scheme val="minor"/>
      </rPr>
      <t>Monthly Maintenance</t>
    </r>
    <r>
      <rPr>
        <sz val="12"/>
        <rFont val="Calibri"/>
        <family val="2"/>
        <scheme val="minor"/>
      </rPr>
      <t xml:space="preserve"> costs increased from $6.4K in 2017 to $8.2K in 2019 when JP Landscape suspended service in mid-2018. Two subsequent providers were more expensive and less reliable, with no services for 3 months in summer 2019. New bids were sought and received in September and a new provider with more reasonable rates and a proven track record was selected, and service resumed in October. 2020 costs should be lower.</t>
    </r>
  </si>
  <si>
    <r>
      <t xml:space="preserve">(3) </t>
    </r>
    <r>
      <rPr>
        <b/>
        <sz val="12"/>
        <rFont val="Calibri"/>
        <family val="2"/>
        <scheme val="minor"/>
      </rPr>
      <t>Annnual Maintenance</t>
    </r>
    <r>
      <rPr>
        <sz val="12"/>
        <rFont val="Calibri"/>
        <family val="2"/>
        <scheme val="minor"/>
      </rPr>
      <t xml:space="preserve"> in 2020 includes $750 for fence cleaning (not done from 2015 to 2019).</t>
    </r>
  </si>
  <si>
    <r>
      <t xml:space="preserve">(5) </t>
    </r>
    <r>
      <rPr>
        <b/>
        <sz val="12"/>
        <color theme="1"/>
        <rFont val="Calibri"/>
        <family val="2"/>
        <scheme val="minor"/>
      </rPr>
      <t xml:space="preserve">Insurance </t>
    </r>
    <r>
      <rPr>
        <sz val="12"/>
        <color theme="1"/>
        <rFont val="Calibri"/>
        <family val="2"/>
        <scheme val="minor"/>
      </rPr>
      <t>coverage increased from $1M to $2M in September 2019.</t>
    </r>
  </si>
  <si>
    <t>Late 2018 Dues from 3 Lots</t>
  </si>
  <si>
    <t>Larry Raklios</t>
  </si>
  <si>
    <t>Reimb for water payments</t>
  </si>
  <si>
    <t>Reimb for Projector for HOA Annual Mtg.</t>
  </si>
  <si>
    <t xml:space="preserve">Reimb for Clicker/Pointer for Annual Mtg. </t>
  </si>
  <si>
    <t>Reimb for additional solar lights</t>
  </si>
  <si>
    <t>October Maint</t>
  </si>
  <si>
    <t>Nov Maint &amp; 10 Yards of Gravel</t>
  </si>
  <si>
    <t>2020 at 11/15 Annual Meeting</t>
  </si>
  <si>
    <t>King County</t>
  </si>
  <si>
    <t>Fence Permit</t>
  </si>
  <si>
    <r>
      <t xml:space="preserve">(4) </t>
    </r>
    <r>
      <rPr>
        <b/>
        <sz val="12"/>
        <rFont val="Calibri"/>
        <family val="2"/>
        <scheme val="minor"/>
      </rPr>
      <t xml:space="preserve">Periodic repair, refresh, etc. </t>
    </r>
    <r>
      <rPr>
        <sz val="12"/>
        <rFont val="Calibri"/>
        <family val="2"/>
        <scheme val="minor"/>
      </rPr>
      <t>in 2019 includes the following performed by HOA volunteers: monument area weeding, planting and pressure-washing, mailbox kiosk painting, branch removal, fence cleaning, leaf blowing, and some gravel cleanup. These savings worth ~$5,000 help pay for: $5,000 to remove weeds from all gravel, $1,807 to repair irrigation, $193 for lights, $1,300 for additional gravel and $500 for the unexpected fence permit in late December.</t>
    </r>
  </si>
  <si>
    <t>2019 Actual</t>
  </si>
  <si>
    <r>
      <t xml:space="preserve">(4) </t>
    </r>
    <r>
      <rPr>
        <b/>
        <sz val="12"/>
        <rFont val="Calibri"/>
        <family val="2"/>
        <scheme val="minor"/>
      </rPr>
      <t xml:space="preserve">Periodic maintenance </t>
    </r>
    <r>
      <rPr>
        <sz val="12"/>
        <rFont val="Calibri"/>
        <family val="2"/>
        <scheme val="minor"/>
      </rPr>
      <t>includes the following performed by HOA volunteers at no charge: monument area weeding, planting and pressure-washing, mailbox kiosk painting, branch removal, fence cleaning, leaf blowing, and some gravel cleanup. These savings are estimated to be ~$5,000, which were used to pay $5,000 for the removal of weeds from all gravel, $1,807 for irrigation repair, $190 for solar lights, $1,300 for additional common gravel, $500 for an unexpected fence permit in late December.</t>
    </r>
  </si>
  <si>
    <t>&lt;- Overrun is due to the unexpected $500 payment to King County for a fence permit in late-December (apparently due every 5 years).</t>
  </si>
  <si>
    <t>Proj. @ 11/15/19</t>
  </si>
  <si>
    <r>
      <rPr>
        <b/>
        <sz val="14"/>
        <color theme="1"/>
        <rFont val="Calibri"/>
        <family val="2"/>
        <scheme val="minor"/>
      </rPr>
      <t>2020</t>
    </r>
    <r>
      <rPr>
        <b/>
        <sz val="12"/>
        <color theme="1"/>
        <rFont val="Calibri"/>
        <family val="2"/>
        <scheme val="minor"/>
      </rPr>
      <t xml:space="preserve"> Budget</t>
    </r>
  </si>
  <si>
    <t>Jan EOM</t>
  </si>
  <si>
    <t>* Excludes reserve for unforseen events (~$5K) and reserve for first three months of the following year (~$3K).</t>
  </si>
  <si>
    <r>
      <t>Total R&amp;R Reserve Target</t>
    </r>
    <r>
      <rPr>
        <b/>
        <sz val="11"/>
        <color theme="1"/>
        <rFont val="Calibri"/>
        <family val="2"/>
        <scheme val="minor"/>
      </rPr>
      <t xml:space="preserve"> *</t>
    </r>
  </si>
  <si>
    <t>Stopped Pmt Lot 7</t>
  </si>
  <si>
    <t>Bank Fee for Stp Pmt</t>
  </si>
  <si>
    <t>Fee waived per rqst.</t>
  </si>
  <si>
    <t>Feb EOM</t>
  </si>
  <si>
    <t>16 Yards of Add'l Common Gravel</t>
  </si>
  <si>
    <t>Daniel Hernandez (Lost)</t>
  </si>
  <si>
    <t>Stop Payment Fee for Lost Check</t>
  </si>
  <si>
    <t>Mar EOM</t>
  </si>
  <si>
    <t>Daniel Hernandez (Dec)</t>
  </si>
  <si>
    <t>Daniel Hernandez (Jan)</t>
  </si>
  <si>
    <t>Daniel Hernandez (Mar)</t>
  </si>
  <si>
    <t>Apr EOM</t>
  </si>
  <si>
    <t>Restart Irrigation System</t>
  </si>
  <si>
    <t>Void</t>
  </si>
  <si>
    <t>Spring flowers &amp; soil for entrance</t>
  </si>
  <si>
    <t>Shrubs and soil for entrance</t>
  </si>
  <si>
    <t>May EOM</t>
  </si>
  <si>
    <t>Harland Clarke Checks</t>
  </si>
  <si>
    <t>Dan Kirchner</t>
  </si>
  <si>
    <t>Monument Mulch &amp; CU on 201st Ave</t>
  </si>
  <si>
    <t>Mailbox repair</t>
  </si>
  <si>
    <t>Paint for mailbox repair</t>
  </si>
  <si>
    <t>June EOM</t>
  </si>
  <si>
    <t>ARC Reimbursement</t>
  </si>
  <si>
    <t>Reimb. from Amazon for mailbox</t>
  </si>
  <si>
    <t>July EOM</t>
  </si>
  <si>
    <t>2021 Beginning Balance</t>
  </si>
  <si>
    <t>Annual Reserve Contribution</t>
  </si>
  <si>
    <t>Asset Repair and Replacement</t>
  </si>
  <si>
    <t xml:space="preserve">Contingency: Vandalism, Legal, etc. </t>
  </si>
  <si>
    <t>Allocation of Ending Balance:</t>
  </si>
  <si>
    <r>
      <rPr>
        <b/>
        <sz val="14"/>
        <color theme="1"/>
        <rFont val="Calibri"/>
        <family val="2"/>
        <scheme val="minor"/>
      </rPr>
      <t>2021</t>
    </r>
    <r>
      <rPr>
        <b/>
        <sz val="12"/>
        <color theme="1"/>
        <rFont val="Calibri"/>
        <family val="2"/>
        <scheme val="minor"/>
      </rPr>
      <t xml:space="preserve"> Prelim Bud.</t>
    </r>
  </si>
  <si>
    <t>Total Expenses and Reserve Contribution</t>
  </si>
  <si>
    <t>Funds to Cover January - March of Following Year</t>
  </si>
  <si>
    <t>Aug EOM</t>
  </si>
  <si>
    <t>Remove Treehouses</t>
  </si>
  <si>
    <t>Sep EOM</t>
  </si>
  <si>
    <t>Oct EOM</t>
  </si>
  <si>
    <t>Nov EOM</t>
  </si>
  <si>
    <t>Dec EOM</t>
  </si>
  <si>
    <t>Bal Incr from Prior Yr</t>
  </si>
  <si>
    <t>Dues for 27 of 32 lots</t>
  </si>
  <si>
    <t>Dues for 3 of 32 lots</t>
  </si>
  <si>
    <t>Dues for 1 of 32 lots</t>
  </si>
  <si>
    <t>Unidentified:</t>
  </si>
  <si>
    <t>2020 Actual</t>
  </si>
  <si>
    <t>2021 Projection</t>
  </si>
  <si>
    <t xml:space="preserve">Irrigation </t>
  </si>
  <si>
    <t>Surplus R&amp;R Reserve</t>
  </si>
  <si>
    <t>Actual R&amp;R Reserve *</t>
  </si>
  <si>
    <t>Solar lights and signs</t>
  </si>
  <si>
    <t>Reserve Target</t>
  </si>
  <si>
    <t>Funds to Cover January - March of Following Yr</t>
  </si>
  <si>
    <t>Reimb for Website</t>
  </si>
  <si>
    <t>State HOA Filing Fees</t>
  </si>
  <si>
    <t>2021 Actual</t>
  </si>
  <si>
    <t>Irrigation, mailbox and light repair</t>
  </si>
  <si>
    <t>Weed gravel $5K, add common gravel, solar lights</t>
  </si>
  <si>
    <r>
      <rPr>
        <b/>
        <sz val="14"/>
        <color theme="1"/>
        <rFont val="Calibri"/>
        <family val="2"/>
        <scheme val="minor"/>
      </rPr>
      <t>2022</t>
    </r>
    <r>
      <rPr>
        <b/>
        <sz val="12"/>
        <color theme="1"/>
        <rFont val="Calibri"/>
        <family val="2"/>
        <scheme val="minor"/>
      </rPr>
      <t xml:space="preserve"> Prelim Bud.</t>
    </r>
  </si>
  <si>
    <t>Surplus &amp; Annual Reserve Contribution</t>
  </si>
  <si>
    <t>Total Expenses and Surplus/Reserve Contrib.</t>
  </si>
  <si>
    <t>Bal Change from Prior Yr</t>
  </si>
  <si>
    <t>Reimb for 2020 &amp; 2021 PO Box Rent?</t>
  </si>
  <si>
    <t>Website, PO Box, Bank Fees, Other</t>
  </si>
  <si>
    <t>~$1,500 due to 2021 expenses not paid until 2022, but remainder may be surplus reserve.</t>
  </si>
  <si>
    <t>Annual Maint: Fall 2021 Irrigation Service</t>
  </si>
  <si>
    <t>Monthly Maint: December Paid in January</t>
  </si>
  <si>
    <t>Periodic Maint.: 2021 Fence Repair</t>
  </si>
  <si>
    <t>Website Fee for 2021</t>
  </si>
  <si>
    <t>PO Box Fee for 2020 and 2021?</t>
  </si>
  <si>
    <t>Expenses above exclude the following paid or to be paid in 2022.</t>
  </si>
  <si>
    <t>From Current Year Dues:</t>
  </si>
  <si>
    <t>Dues for 22 of 32 lots</t>
  </si>
  <si>
    <t>Dues for 6 of 32 lots</t>
  </si>
  <si>
    <t>Fence Repair $200, PO Box $198</t>
  </si>
  <si>
    <t>William and Michelle</t>
  </si>
  <si>
    <t>B'flow &amp; Irrig Blow $138, Website $379</t>
  </si>
  <si>
    <t>Fee to Reduce Water Meter Size</t>
  </si>
  <si>
    <t>Solar lights and signs $594</t>
  </si>
  <si>
    <t>Fence repair $200, Water meter reduction $500.</t>
  </si>
  <si>
    <t>Surplus Added to Reserve:</t>
  </si>
  <si>
    <t>2022 Prelim.</t>
  </si>
  <si>
    <t>2022 Prelim</t>
  </si>
  <si>
    <t>Reimb for State Filing Fees</t>
  </si>
  <si>
    <t>Washington State SOC</t>
  </si>
  <si>
    <t xml:space="preserve">Contingency: Trees, Vandalism, Legal, etc.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</si>
</sst>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[$-F800]dddd\,\ mmmm\ dd\,\ yyyy"/>
    <numFmt numFmtId="165" formatCode="&quot;$&quot;#,##0.00"/>
    <numFmt numFmtId="166" formatCode="&quot;$&quot;#,##0.000"/>
    <numFmt numFmtId="167" formatCode="&quot;$&quot;#,##0"/>
    <numFmt numFmtId="168" formatCode="0_);[Red]\(0\)"/>
    <numFmt numFmtId="169" formatCode="m/d/yy;@"/>
  </numFmts>
  <fonts count="4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</font>
    <font>
      <u/>
      <sz val="11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u val="singleAccounting"/>
      <sz val="12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1"/>
      <color theme="7" tint="-0.249977111117893"/>
      <name val="Calibri"/>
      <family val="2"/>
      <scheme val="minor"/>
    </font>
    <font>
      <sz val="11"/>
      <color rgb="FF66FF33"/>
      <name val="Calibri"/>
      <family val="2"/>
      <scheme val="minor"/>
    </font>
    <font>
      <sz val="11"/>
      <color rgb="FF009900"/>
      <name val="Calibri"/>
      <family val="2"/>
      <scheme val="minor"/>
    </font>
    <font>
      <b/>
      <sz val="11"/>
      <color theme="7" tint="-0.249977111117893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2"/>
      <name val="Calibri"/>
      <family val="2"/>
      <scheme val="minor"/>
    </font>
    <font>
      <sz val="12"/>
      <color rgb="FFFF0000"/>
      <name val="Calibri"/>
      <family val="2"/>
      <scheme val="minor"/>
    </font>
    <font>
      <sz val="11"/>
      <color rgb="FF33CC33"/>
      <name val="Calibri"/>
      <family val="2"/>
      <scheme val="minor"/>
    </font>
    <font>
      <b/>
      <sz val="12"/>
      <name val="Calibri"/>
      <family val="2"/>
      <scheme val="minor"/>
    </font>
    <font>
      <b/>
      <u val="singleAccounting"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</font>
    <font>
      <i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u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9"/>
      <color indexed="81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66FF66"/>
        <bgColor indexed="64"/>
      </patternFill>
    </fill>
  </fills>
  <borders count="6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Dashed">
        <color auto="1"/>
      </right>
      <top/>
      <bottom/>
      <diagonal/>
    </border>
    <border>
      <left style="mediumDashed">
        <color auto="1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49">
    <xf numFmtId="0" fontId="0" fillId="0" borderId="0" xfId="0"/>
    <xf numFmtId="0" fontId="2" fillId="0" borderId="0" xfId="0" applyFont="1"/>
    <xf numFmtId="44" fontId="2" fillId="0" borderId="0" xfId="1" applyFont="1"/>
    <xf numFmtId="0" fontId="3" fillId="0" borderId="0" xfId="0" applyFont="1"/>
    <xf numFmtId="44" fontId="3" fillId="0" borderId="0" xfId="0" applyNumberFormat="1" applyFont="1"/>
    <xf numFmtId="44" fontId="3" fillId="0" borderId="0" xfId="1" applyFont="1"/>
    <xf numFmtId="164" fontId="2" fillId="0" borderId="0" xfId="0" applyNumberFormat="1" applyFont="1"/>
    <xf numFmtId="0" fontId="2" fillId="0" borderId="2" xfId="0" applyFont="1" applyBorder="1"/>
    <xf numFmtId="164" fontId="2" fillId="0" borderId="2" xfId="0" applyNumberFormat="1" applyFont="1" applyBorder="1"/>
    <xf numFmtId="44" fontId="0" fillId="0" borderId="0" xfId="1" applyFont="1"/>
    <xf numFmtId="44" fontId="4" fillId="0" borderId="0" xfId="1" applyFont="1"/>
    <xf numFmtId="0" fontId="5" fillId="0" borderId="0" xfId="0" applyFont="1"/>
    <xf numFmtId="44" fontId="3" fillId="2" borderId="1" xfId="1" applyFont="1" applyFill="1" applyBorder="1"/>
    <xf numFmtId="44" fontId="2" fillId="2" borderId="0" xfId="1" applyFont="1" applyFill="1"/>
    <xf numFmtId="44" fontId="3" fillId="2" borderId="0" xfId="1" applyFont="1" applyFill="1"/>
    <xf numFmtId="0" fontId="3" fillId="0" borderId="1" xfId="0" applyFont="1" applyBorder="1" applyAlignment="1">
      <alignment horizontal="center"/>
    </xf>
    <xf numFmtId="44" fontId="4" fillId="0" borderId="3" xfId="1" applyFont="1" applyBorder="1" applyAlignment="1">
      <alignment horizontal="center"/>
    </xf>
    <xf numFmtId="44" fontId="4" fillId="0" borderId="1" xfId="1" applyFont="1" applyBorder="1" applyAlignment="1">
      <alignment horizontal="center"/>
    </xf>
    <xf numFmtId="44" fontId="6" fillId="0" borderId="0" xfId="1" applyFont="1"/>
    <xf numFmtId="0" fontId="6" fillId="0" borderId="0" xfId="0" applyFont="1"/>
    <xf numFmtId="44" fontId="7" fillId="0" borderId="0" xfId="1" applyFont="1"/>
    <xf numFmtId="44" fontId="8" fillId="0" borderId="0" xfId="1" applyFont="1"/>
    <xf numFmtId="0" fontId="3" fillId="0" borderId="2" xfId="0" applyFont="1" applyBorder="1"/>
    <xf numFmtId="165" fontId="2" fillId="0" borderId="0" xfId="0" applyNumberFormat="1" applyFont="1"/>
    <xf numFmtId="0" fontId="9" fillId="0" borderId="0" xfId="0" applyFont="1"/>
    <xf numFmtId="0" fontId="3" fillId="0" borderId="0" xfId="0" applyFont="1" applyAlignment="1">
      <alignment horizontal="right"/>
    </xf>
    <xf numFmtId="7" fontId="6" fillId="0" borderId="0" xfId="1" applyNumberFormat="1" applyFont="1"/>
    <xf numFmtId="7" fontId="6" fillId="0" borderId="0" xfId="0" applyNumberFormat="1" applyFont="1"/>
    <xf numFmtId="7" fontId="7" fillId="0" borderId="0" xfId="1" applyNumberFormat="1" applyFont="1"/>
    <xf numFmtId="7" fontId="12" fillId="0" borderId="0" xfId="1" applyNumberFormat="1" applyFont="1"/>
    <xf numFmtId="165" fontId="10" fillId="0" borderId="0" xfId="0" applyNumberFormat="1" applyFont="1"/>
    <xf numFmtId="0" fontId="13" fillId="0" borderId="0" xfId="0" applyFont="1"/>
    <xf numFmtId="165" fontId="2" fillId="0" borderId="6" xfId="0" applyNumberFormat="1" applyFont="1" applyBorder="1"/>
    <xf numFmtId="165" fontId="11" fillId="0" borderId="6" xfId="0" applyNumberFormat="1" applyFont="1" applyBorder="1"/>
    <xf numFmtId="165" fontId="3" fillId="0" borderId="6" xfId="0" applyNumberFormat="1" applyFont="1" applyBorder="1"/>
    <xf numFmtId="0" fontId="3" fillId="0" borderId="5" xfId="0" applyFont="1" applyBorder="1" applyAlignment="1">
      <alignment horizontal="center" wrapText="1"/>
    </xf>
    <xf numFmtId="7" fontId="15" fillId="0" borderId="0" xfId="1" applyNumberFormat="1" applyFont="1"/>
    <xf numFmtId="0" fontId="14" fillId="0" borderId="0" xfId="0" applyFont="1"/>
    <xf numFmtId="164" fontId="16" fillId="0" borderId="0" xfId="0" applyNumberFormat="1" applyFont="1"/>
    <xf numFmtId="165" fontId="16" fillId="0" borderId="6" xfId="1" applyNumberFormat="1" applyFont="1" applyBorder="1"/>
    <xf numFmtId="7" fontId="17" fillId="0" borderId="0" xfId="1" applyNumberFormat="1" applyFont="1"/>
    <xf numFmtId="44" fontId="17" fillId="0" borderId="0" xfId="1" applyFont="1"/>
    <xf numFmtId="0" fontId="16" fillId="0" borderId="0" xfId="0" applyFont="1"/>
    <xf numFmtId="165" fontId="2" fillId="3" borderId="6" xfId="1" applyNumberFormat="1" applyFont="1" applyFill="1" applyBorder="1"/>
    <xf numFmtId="165" fontId="14" fillId="3" borderId="6" xfId="1" applyNumberFormat="1" applyFont="1" applyFill="1" applyBorder="1"/>
    <xf numFmtId="165" fontId="16" fillId="2" borderId="6" xfId="1" applyNumberFormat="1" applyFont="1" applyFill="1" applyBorder="1"/>
    <xf numFmtId="165" fontId="2" fillId="2" borderId="6" xfId="1" applyNumberFormat="1" applyFont="1" applyFill="1" applyBorder="1"/>
    <xf numFmtId="165" fontId="11" fillId="2" borderId="6" xfId="1" applyNumberFormat="1" applyFont="1" applyFill="1" applyBorder="1"/>
    <xf numFmtId="165" fontId="3" fillId="2" borderId="6" xfId="1" applyNumberFormat="1" applyFont="1" applyFill="1" applyBorder="1"/>
    <xf numFmtId="165" fontId="14" fillId="2" borderId="7" xfId="1" applyNumberFormat="1" applyFont="1" applyFill="1" applyBorder="1"/>
    <xf numFmtId="7" fontId="6" fillId="0" borderId="0" xfId="1" applyNumberFormat="1" applyFont="1" applyBorder="1"/>
    <xf numFmtId="7" fontId="6" fillId="0" borderId="0" xfId="1" applyNumberFormat="1" applyFont="1" applyFill="1" applyBorder="1"/>
    <xf numFmtId="7" fontId="12" fillId="0" borderId="0" xfId="1" applyNumberFormat="1" applyFont="1" applyBorder="1"/>
    <xf numFmtId="7" fontId="12" fillId="0" borderId="0" xfId="0" applyNumberFormat="1" applyFont="1"/>
    <xf numFmtId="165" fontId="2" fillId="0" borderId="6" xfId="1" applyNumberFormat="1" applyFont="1" applyFill="1" applyBorder="1"/>
    <xf numFmtId="165" fontId="14" fillId="0" borderId="7" xfId="1" applyNumberFormat="1" applyFont="1" applyBorder="1"/>
    <xf numFmtId="7" fontId="12" fillId="0" borderId="0" xfId="1" applyNumberFormat="1" applyFont="1" applyFill="1"/>
    <xf numFmtId="7" fontId="6" fillId="0" borderId="0" xfId="1" applyNumberFormat="1" applyFont="1" applyFill="1"/>
    <xf numFmtId="44" fontId="3" fillId="2" borderId="5" xfId="1" applyFont="1" applyFill="1" applyBorder="1" applyAlignment="1">
      <alignment horizontal="center" vertical="center" wrapText="1"/>
    </xf>
    <xf numFmtId="0" fontId="21" fillId="0" borderId="0" xfId="0" applyFont="1"/>
    <xf numFmtId="0" fontId="2" fillId="0" borderId="0" xfId="0" applyFont="1" applyAlignment="1">
      <alignment horizontal="center"/>
    </xf>
    <xf numFmtId="165" fontId="2" fillId="0" borderId="0" xfId="0" applyNumberFormat="1" applyFont="1" applyAlignment="1">
      <alignment horizontal="right"/>
    </xf>
    <xf numFmtId="165" fontId="2" fillId="0" borderId="1" xfId="0" applyNumberFormat="1" applyFont="1" applyBorder="1"/>
    <xf numFmtId="165" fontId="16" fillId="0" borderId="0" xfId="0" applyNumberFormat="1" applyFont="1"/>
    <xf numFmtId="165" fontId="25" fillId="0" borderId="0" xfId="0" applyNumberFormat="1" applyFont="1"/>
    <xf numFmtId="0" fontId="4" fillId="0" borderId="12" xfId="1" applyNumberFormat="1" applyFont="1" applyBorder="1" applyAlignment="1">
      <alignment horizontal="center"/>
    </xf>
    <xf numFmtId="165" fontId="4" fillId="0" borderId="13" xfId="1" applyNumberFormat="1" applyFont="1" applyBorder="1" applyAlignment="1">
      <alignment horizontal="right"/>
    </xf>
    <xf numFmtId="165" fontId="0" fillId="0" borderId="14" xfId="1" applyNumberFormat="1" applyFont="1" applyBorder="1"/>
    <xf numFmtId="165" fontId="24" fillId="0" borderId="13" xfId="1" applyNumberFormat="1" applyFont="1" applyBorder="1"/>
    <xf numFmtId="165" fontId="26" fillId="0" borderId="13" xfId="1" applyNumberFormat="1" applyFont="1" applyBorder="1"/>
    <xf numFmtId="165" fontId="2" fillId="0" borderId="13" xfId="1" applyNumberFormat="1" applyFont="1" applyFill="1" applyBorder="1"/>
    <xf numFmtId="165" fontId="0" fillId="0" borderId="13" xfId="1" applyNumberFormat="1" applyFont="1" applyBorder="1"/>
    <xf numFmtId="165" fontId="23" fillId="0" borderId="13" xfId="1" applyNumberFormat="1" applyFont="1" applyBorder="1"/>
    <xf numFmtId="165" fontId="14" fillId="0" borderId="14" xfId="1" applyNumberFormat="1" applyFont="1" applyBorder="1"/>
    <xf numFmtId="165" fontId="1" fillId="0" borderId="13" xfId="1" applyNumberFormat="1" applyFont="1" applyBorder="1" applyAlignment="1">
      <alignment horizontal="right"/>
    </xf>
    <xf numFmtId="0" fontId="4" fillId="0" borderId="12" xfId="0" applyFont="1" applyBorder="1" applyAlignment="1">
      <alignment horizontal="center"/>
    </xf>
    <xf numFmtId="165" fontId="14" fillId="0" borderId="13" xfId="0" applyNumberFormat="1" applyFont="1" applyBorder="1"/>
    <xf numFmtId="165" fontId="25" fillId="0" borderId="13" xfId="0" applyNumberFormat="1" applyFont="1" applyBorder="1"/>
    <xf numFmtId="165" fontId="2" fillId="0" borderId="13" xfId="0" applyNumberFormat="1" applyFont="1" applyBorder="1"/>
    <xf numFmtId="165" fontId="1" fillId="0" borderId="14" xfId="1" applyNumberFormat="1" applyFont="1" applyBorder="1"/>
    <xf numFmtId="165" fontId="26" fillId="0" borderId="13" xfId="0" applyNumberFormat="1" applyFont="1" applyBorder="1"/>
    <xf numFmtId="165" fontId="1" fillId="0" borderId="13" xfId="0" applyNumberFormat="1" applyFont="1" applyBorder="1"/>
    <xf numFmtId="165" fontId="1" fillId="0" borderId="13" xfId="1" applyNumberFormat="1" applyFont="1" applyBorder="1"/>
    <xf numFmtId="165" fontId="23" fillId="0" borderId="13" xfId="0" applyNumberFormat="1" applyFont="1" applyBorder="1"/>
    <xf numFmtId="0" fontId="3" fillId="2" borderId="12" xfId="1" applyNumberFormat="1" applyFont="1" applyFill="1" applyBorder="1" applyAlignment="1">
      <alignment horizontal="center"/>
    </xf>
    <xf numFmtId="165" fontId="2" fillId="2" borderId="13" xfId="1" applyNumberFormat="1" applyFont="1" applyFill="1" applyBorder="1" applyAlignment="1">
      <alignment horizontal="right"/>
    </xf>
    <xf numFmtId="165" fontId="2" fillId="2" borderId="14" xfId="1" applyNumberFormat="1" applyFont="1" applyFill="1" applyBorder="1"/>
    <xf numFmtId="165" fontId="14" fillId="2" borderId="13" xfId="1" applyNumberFormat="1" applyFont="1" applyFill="1" applyBorder="1"/>
    <xf numFmtId="165" fontId="25" fillId="2" borderId="13" xfId="1" applyNumberFormat="1" applyFont="1" applyFill="1" applyBorder="1"/>
    <xf numFmtId="165" fontId="2" fillId="2" borderId="13" xfId="1" applyNumberFormat="1" applyFont="1" applyFill="1" applyBorder="1"/>
    <xf numFmtId="165" fontId="3" fillId="2" borderId="14" xfId="1" applyNumberFormat="1" applyFont="1" applyFill="1" applyBorder="1"/>
    <xf numFmtId="165" fontId="3" fillId="2" borderId="13" xfId="1" applyNumberFormat="1" applyFont="1" applyFill="1" applyBorder="1"/>
    <xf numFmtId="165" fontId="14" fillId="2" borderId="14" xfId="1" applyNumberFormat="1" applyFont="1" applyFill="1" applyBorder="1"/>
    <xf numFmtId="44" fontId="3" fillId="0" borderId="12" xfId="1" applyFont="1" applyBorder="1" applyAlignment="1">
      <alignment horizontal="center"/>
    </xf>
    <xf numFmtId="0" fontId="3" fillId="0" borderId="0" xfId="0" quotePrefix="1" applyFont="1"/>
    <xf numFmtId="0" fontId="3" fillId="0" borderId="0" xfId="0" applyFont="1" applyAlignment="1">
      <alignment horizontal="left"/>
    </xf>
    <xf numFmtId="165" fontId="1" fillId="0" borderId="13" xfId="1" applyNumberFormat="1" applyFont="1" applyFill="1" applyBorder="1"/>
    <xf numFmtId="165" fontId="22" fillId="0" borderId="13" xfId="1" applyNumberFormat="1" applyFont="1" applyBorder="1"/>
    <xf numFmtId="165" fontId="0" fillId="0" borderId="13" xfId="0" applyNumberFormat="1" applyBorder="1"/>
    <xf numFmtId="165" fontId="3" fillId="0" borderId="0" xfId="0" applyNumberFormat="1" applyFont="1"/>
    <xf numFmtId="165" fontId="0" fillId="0" borderId="13" xfId="1" applyNumberFormat="1" applyFont="1" applyFill="1" applyBorder="1"/>
    <xf numFmtId="165" fontId="0" fillId="0" borderId="0" xfId="0" applyNumberFormat="1"/>
    <xf numFmtId="165" fontId="9" fillId="0" borderId="0" xfId="0" applyNumberFormat="1" applyFont="1"/>
    <xf numFmtId="165" fontId="6" fillId="0" borderId="0" xfId="1" applyNumberFormat="1" applyFont="1"/>
    <xf numFmtId="166" fontId="0" fillId="0" borderId="13" xfId="1" applyNumberFormat="1" applyFont="1" applyBorder="1"/>
    <xf numFmtId="16" fontId="0" fillId="0" borderId="0" xfId="0" applyNumberFormat="1"/>
    <xf numFmtId="165" fontId="0" fillId="0" borderId="0" xfId="0" applyNumberFormat="1" applyAlignment="1">
      <alignment horizontal="right"/>
    </xf>
    <xf numFmtId="165" fontId="22" fillId="0" borderId="0" xfId="0" applyNumberFormat="1" applyFont="1"/>
    <xf numFmtId="0" fontId="22" fillId="0" borderId="0" xfId="0" applyFont="1" applyAlignment="1">
      <alignment horizontal="center"/>
    </xf>
    <xf numFmtId="0" fontId="22" fillId="0" borderId="0" xfId="0" applyFont="1"/>
    <xf numFmtId="0" fontId="28" fillId="0" borderId="0" xfId="0" applyFont="1"/>
    <xf numFmtId="165" fontId="22" fillId="0" borderId="0" xfId="0" applyNumberFormat="1" applyFont="1" applyAlignment="1">
      <alignment horizontal="center"/>
    </xf>
    <xf numFmtId="165" fontId="4" fillId="0" borderId="0" xfId="0" applyNumberFormat="1" applyFont="1"/>
    <xf numFmtId="165" fontId="0" fillId="0" borderId="1" xfId="0" applyNumberFormat="1" applyBorder="1"/>
    <xf numFmtId="165" fontId="22" fillId="0" borderId="1" xfId="0" applyNumberFormat="1" applyFont="1" applyBorder="1"/>
    <xf numFmtId="0" fontId="0" fillId="0" borderId="0" xfId="0" applyAlignment="1">
      <alignment horizontal="right"/>
    </xf>
    <xf numFmtId="16" fontId="0" fillId="0" borderId="0" xfId="0" applyNumberFormat="1" applyAlignment="1">
      <alignment horizontal="right"/>
    </xf>
    <xf numFmtId="0" fontId="0" fillId="0" borderId="0" xfId="0" applyAlignment="1">
      <alignment horizontal="center"/>
    </xf>
    <xf numFmtId="165" fontId="0" fillId="0" borderId="0" xfId="0" applyNumberFormat="1" applyAlignment="1">
      <alignment horizontal="center"/>
    </xf>
    <xf numFmtId="165" fontId="4" fillId="0" borderId="0" xfId="0" applyNumberFormat="1" applyFont="1" applyAlignment="1">
      <alignment horizontal="center"/>
    </xf>
    <xf numFmtId="165" fontId="0" fillId="4" borderId="0" xfId="0" applyNumberFormat="1" applyFill="1"/>
    <xf numFmtId="0" fontId="22" fillId="0" borderId="22" xfId="0" applyFont="1" applyBorder="1" applyAlignment="1">
      <alignment horizontal="center"/>
    </xf>
    <xf numFmtId="0" fontId="0" fillId="0" borderId="15" xfId="0" applyBorder="1"/>
    <xf numFmtId="167" fontId="0" fillId="0" borderId="24" xfId="0" applyNumberFormat="1" applyBorder="1"/>
    <xf numFmtId="167" fontId="0" fillId="0" borderId="25" xfId="0" applyNumberFormat="1" applyBorder="1"/>
    <xf numFmtId="167" fontId="0" fillId="0" borderId="0" xfId="0" applyNumberFormat="1"/>
    <xf numFmtId="167" fontId="0" fillId="0" borderId="12" xfId="0" applyNumberFormat="1" applyBorder="1"/>
    <xf numFmtId="167" fontId="0" fillId="0" borderId="17" xfId="0" applyNumberFormat="1" applyBorder="1"/>
    <xf numFmtId="0" fontId="0" fillId="0" borderId="15" xfId="0" quotePrefix="1" applyBorder="1" applyAlignment="1">
      <alignment horizontal="right"/>
    </xf>
    <xf numFmtId="167" fontId="0" fillId="0" borderId="35" xfId="0" applyNumberFormat="1" applyBorder="1"/>
    <xf numFmtId="167" fontId="0" fillId="0" borderId="37" xfId="0" applyNumberFormat="1" applyBorder="1"/>
    <xf numFmtId="167" fontId="27" fillId="0" borderId="25" xfId="0" applyNumberFormat="1" applyFont="1" applyBorder="1"/>
    <xf numFmtId="44" fontId="4" fillId="0" borderId="17" xfId="1" applyFont="1" applyBorder="1" applyAlignment="1">
      <alignment horizontal="center"/>
    </xf>
    <xf numFmtId="0" fontId="0" fillId="0" borderId="20" xfId="0" applyBorder="1" applyAlignment="1">
      <alignment horizontal="center" wrapText="1"/>
    </xf>
    <xf numFmtId="0" fontId="0" fillId="0" borderId="23" xfId="0" applyBorder="1" applyAlignment="1">
      <alignment horizontal="center" wrapText="1"/>
    </xf>
    <xf numFmtId="0" fontId="0" fillId="0" borderId="21" xfId="0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29" fillId="0" borderId="23" xfId="0" applyFont="1" applyBorder="1" applyAlignment="1">
      <alignment horizontal="center" wrapText="1"/>
    </xf>
    <xf numFmtId="167" fontId="27" fillId="0" borderId="17" xfId="0" applyNumberFormat="1" applyFont="1" applyBorder="1"/>
    <xf numFmtId="167" fontId="31" fillId="0" borderId="0" xfId="0" applyNumberFormat="1" applyFont="1"/>
    <xf numFmtId="167" fontId="30" fillId="0" borderId="0" xfId="0" applyNumberFormat="1" applyFont="1"/>
    <xf numFmtId="167" fontId="27" fillId="0" borderId="0" xfId="0" quotePrefix="1" applyNumberFormat="1" applyFont="1" applyAlignment="1">
      <alignment horizontal="right"/>
    </xf>
    <xf numFmtId="9" fontId="0" fillId="0" borderId="4" xfId="0" applyNumberFormat="1" applyBorder="1"/>
    <xf numFmtId="9" fontId="32" fillId="0" borderId="0" xfId="0" applyNumberFormat="1" applyFont="1"/>
    <xf numFmtId="9" fontId="0" fillId="0" borderId="0" xfId="0" applyNumberFormat="1"/>
    <xf numFmtId="9" fontId="0" fillId="0" borderId="30" xfId="0" applyNumberFormat="1" applyBorder="1"/>
    <xf numFmtId="9" fontId="0" fillId="0" borderId="31" xfId="0" applyNumberFormat="1" applyBorder="1"/>
    <xf numFmtId="9" fontId="0" fillId="0" borderId="32" xfId="0" applyNumberFormat="1" applyBorder="1"/>
    <xf numFmtId="1" fontId="0" fillId="0" borderId="0" xfId="0" applyNumberFormat="1"/>
    <xf numFmtId="3" fontId="0" fillId="0" borderId="0" xfId="0" applyNumberFormat="1"/>
    <xf numFmtId="37" fontId="0" fillId="0" borderId="0" xfId="0" applyNumberFormat="1"/>
    <xf numFmtId="3" fontId="22" fillId="0" borderId="0" xfId="0" applyNumberFormat="1" applyFont="1"/>
    <xf numFmtId="3" fontId="0" fillId="0" borderId="0" xfId="0" applyNumberFormat="1" applyAlignment="1">
      <alignment horizontal="right"/>
    </xf>
    <xf numFmtId="3" fontId="22" fillId="0" borderId="0" xfId="0" applyNumberFormat="1" applyFont="1" applyAlignment="1">
      <alignment horizontal="right"/>
    </xf>
    <xf numFmtId="37" fontId="0" fillId="0" borderId="0" xfId="0" applyNumberFormat="1" applyAlignment="1">
      <alignment horizontal="right"/>
    </xf>
    <xf numFmtId="0" fontId="2" fillId="0" borderId="0" xfId="0" applyFont="1" applyAlignment="1">
      <alignment horizontal="right"/>
    </xf>
    <xf numFmtId="168" fontId="0" fillId="0" borderId="0" xfId="0" applyNumberFormat="1"/>
    <xf numFmtId="6" fontId="0" fillId="0" borderId="0" xfId="0" applyNumberFormat="1"/>
    <xf numFmtId="167" fontId="31" fillId="0" borderId="42" xfId="0" applyNumberFormat="1" applyFont="1" applyBorder="1"/>
    <xf numFmtId="167" fontId="34" fillId="0" borderId="24" xfId="0" applyNumberFormat="1" applyFont="1" applyBorder="1"/>
    <xf numFmtId="38" fontId="2" fillId="0" borderId="12" xfId="1" applyNumberFormat="1" applyFont="1" applyBorder="1" applyAlignment="1">
      <alignment horizontal="center"/>
    </xf>
    <xf numFmtId="165" fontId="24" fillId="0" borderId="13" xfId="0" applyNumberFormat="1" applyFont="1" applyBorder="1"/>
    <xf numFmtId="165" fontId="24" fillId="0" borderId="14" xfId="1" applyNumberFormat="1" applyFont="1" applyBorder="1"/>
    <xf numFmtId="165" fontId="24" fillId="0" borderId="13" xfId="1" applyNumberFormat="1" applyFont="1" applyFill="1" applyBorder="1"/>
    <xf numFmtId="165" fontId="2" fillId="0" borderId="0" xfId="1" applyNumberFormat="1" applyFont="1" applyFill="1" applyBorder="1" applyAlignment="1">
      <alignment horizontal="center"/>
    </xf>
    <xf numFmtId="44" fontId="2" fillId="0" borderId="0" xfId="0" applyNumberFormat="1" applyFont="1" applyAlignment="1">
      <alignment horizontal="center" wrapText="1"/>
    </xf>
    <xf numFmtId="165" fontId="1" fillId="2" borderId="47" xfId="1" applyNumberFormat="1" applyFont="1" applyFill="1" applyBorder="1" applyAlignment="1">
      <alignment horizontal="right"/>
    </xf>
    <xf numFmtId="165" fontId="1" fillId="2" borderId="28" xfId="1" applyNumberFormat="1" applyFont="1" applyFill="1" applyBorder="1"/>
    <xf numFmtId="165" fontId="24" fillId="2" borderId="47" xfId="1" applyNumberFormat="1" applyFont="1" applyFill="1" applyBorder="1"/>
    <xf numFmtId="165" fontId="14" fillId="2" borderId="47" xfId="1" applyNumberFormat="1" applyFont="1" applyFill="1" applyBorder="1"/>
    <xf numFmtId="165" fontId="1" fillId="2" borderId="47" xfId="1" applyNumberFormat="1" applyFont="1" applyFill="1" applyBorder="1"/>
    <xf numFmtId="165" fontId="26" fillId="2" borderId="47" xfId="1" applyNumberFormat="1" applyFont="1" applyFill="1" applyBorder="1"/>
    <xf numFmtId="165" fontId="22" fillId="2" borderId="47" xfId="1" applyNumberFormat="1" applyFont="1" applyFill="1" applyBorder="1"/>
    <xf numFmtId="165" fontId="4" fillId="2" borderId="28" xfId="1" applyNumberFormat="1" applyFont="1" applyFill="1" applyBorder="1"/>
    <xf numFmtId="165" fontId="3" fillId="2" borderId="47" xfId="1" applyNumberFormat="1" applyFont="1" applyFill="1" applyBorder="1"/>
    <xf numFmtId="165" fontId="24" fillId="2" borderId="28" xfId="1" applyNumberFormat="1" applyFont="1" applyFill="1" applyBorder="1"/>
    <xf numFmtId="165" fontId="24" fillId="0" borderId="0" xfId="1" applyNumberFormat="1" applyFont="1" applyBorder="1"/>
    <xf numFmtId="165" fontId="2" fillId="0" borderId="13" xfId="1" applyNumberFormat="1" applyFont="1" applyBorder="1"/>
    <xf numFmtId="44" fontId="2" fillId="0" borderId="0" xfId="1" applyFont="1" applyBorder="1" applyAlignment="1">
      <alignment horizontal="center"/>
    </xf>
    <xf numFmtId="44" fontId="2" fillId="0" borderId="0" xfId="1" applyFont="1" applyBorder="1" applyAlignment="1">
      <alignment horizontal="center" wrapText="1"/>
    </xf>
    <xf numFmtId="44" fontId="2" fillId="0" borderId="0" xfId="0" applyNumberFormat="1" applyFont="1" applyAlignment="1">
      <alignment horizontal="center"/>
    </xf>
    <xf numFmtId="165" fontId="24" fillId="0" borderId="0" xfId="1" applyNumberFormat="1" applyFont="1" applyFill="1" applyBorder="1"/>
    <xf numFmtId="0" fontId="4" fillId="0" borderId="12" xfId="1" applyNumberFormat="1" applyFont="1" applyFill="1" applyBorder="1" applyAlignment="1">
      <alignment horizontal="center"/>
    </xf>
    <xf numFmtId="0" fontId="2" fillId="0" borderId="34" xfId="0" applyFont="1" applyBorder="1" applyAlignment="1">
      <alignment horizontal="left" vertical="top" wrapText="1"/>
    </xf>
    <xf numFmtId="0" fontId="2" fillId="0" borderId="46" xfId="0" applyFont="1" applyBorder="1"/>
    <xf numFmtId="0" fontId="2" fillId="0" borderId="45" xfId="0" applyFont="1" applyBorder="1"/>
    <xf numFmtId="0" fontId="2" fillId="0" borderId="1" xfId="0" applyFont="1" applyBorder="1"/>
    <xf numFmtId="0" fontId="2" fillId="0" borderId="29" xfId="0" applyFont="1" applyBorder="1"/>
    <xf numFmtId="0" fontId="2" fillId="0" borderId="47" xfId="0" applyFont="1" applyBorder="1"/>
    <xf numFmtId="0" fontId="2" fillId="0" borderId="28" xfId="0" applyFont="1" applyBorder="1"/>
    <xf numFmtId="165" fontId="24" fillId="0" borderId="0" xfId="1" applyNumberFormat="1" applyFont="1" applyBorder="1" applyAlignment="1">
      <alignment horizontal="right"/>
    </xf>
    <xf numFmtId="0" fontId="4" fillId="2" borderId="17" xfId="1" applyNumberFormat="1" applyFont="1" applyFill="1" applyBorder="1" applyAlignment="1">
      <alignment horizontal="center"/>
    </xf>
    <xf numFmtId="0" fontId="2" fillId="0" borderId="44" xfId="0" applyFont="1" applyBorder="1"/>
    <xf numFmtId="9" fontId="0" fillId="0" borderId="0" xfId="0" applyNumberFormat="1" applyAlignment="1">
      <alignment horizontal="left"/>
    </xf>
    <xf numFmtId="165" fontId="1" fillId="0" borderId="47" xfId="1" applyNumberFormat="1" applyFont="1" applyFill="1" applyBorder="1"/>
    <xf numFmtId="165" fontId="1" fillId="0" borderId="14" xfId="1" applyNumberFormat="1" applyFont="1" applyFill="1" applyBorder="1"/>
    <xf numFmtId="165" fontId="24" fillId="0" borderId="47" xfId="1" applyNumberFormat="1" applyFont="1" applyFill="1" applyBorder="1"/>
    <xf numFmtId="165" fontId="2" fillId="0" borderId="47" xfId="1" applyNumberFormat="1" applyFont="1" applyFill="1" applyBorder="1"/>
    <xf numFmtId="165" fontId="22" fillId="0" borderId="47" xfId="1" applyNumberFormat="1" applyFont="1" applyFill="1" applyBorder="1"/>
    <xf numFmtId="165" fontId="24" fillId="0" borderId="14" xfId="1" applyNumberFormat="1" applyFont="1" applyFill="1" applyBorder="1"/>
    <xf numFmtId="165" fontId="24" fillId="0" borderId="12" xfId="1" applyNumberFormat="1" applyFont="1" applyFill="1" applyBorder="1"/>
    <xf numFmtId="1" fontId="0" fillId="0" borderId="0" xfId="0" applyNumberFormat="1" applyAlignment="1">
      <alignment horizontal="right"/>
    </xf>
    <xf numFmtId="165" fontId="0" fillId="4" borderId="0" xfId="0" applyNumberFormat="1" applyFill="1" applyAlignment="1">
      <alignment horizontal="right"/>
    </xf>
    <xf numFmtId="1" fontId="22" fillId="0" borderId="0" xfId="0" applyNumberFormat="1" applyFont="1"/>
    <xf numFmtId="44" fontId="4" fillId="0" borderId="1" xfId="1" applyFont="1" applyFill="1" applyBorder="1" applyAlignment="1">
      <alignment horizontal="center"/>
    </xf>
    <xf numFmtId="165" fontId="4" fillId="0" borderId="33" xfId="1" applyNumberFormat="1" applyFont="1" applyFill="1" applyBorder="1" applyAlignment="1">
      <alignment horizontal="center"/>
    </xf>
    <xf numFmtId="38" fontId="4" fillId="0" borderId="12" xfId="1" applyNumberFormat="1" applyFont="1" applyFill="1" applyBorder="1" applyAlignment="1">
      <alignment horizontal="center"/>
    </xf>
    <xf numFmtId="8" fontId="4" fillId="0" borderId="12" xfId="0" applyNumberFormat="1" applyFont="1" applyBorder="1"/>
    <xf numFmtId="0" fontId="2" fillId="0" borderId="34" xfId="0" applyFont="1" applyBorder="1"/>
    <xf numFmtId="165" fontId="14" fillId="3" borderId="7" xfId="1" applyNumberFormat="1" applyFont="1" applyFill="1" applyBorder="1"/>
    <xf numFmtId="164" fontId="2" fillId="0" borderId="0" xfId="0" quotePrefix="1" applyNumberFormat="1" applyFont="1" applyAlignment="1">
      <alignment horizontal="right"/>
    </xf>
    <xf numFmtId="164" fontId="14" fillId="0" borderId="0" xfId="0" applyNumberFormat="1" applyFont="1" applyAlignment="1">
      <alignment horizontal="right"/>
    </xf>
    <xf numFmtId="0" fontId="3" fillId="0" borderId="0" xfId="0" applyFont="1" applyAlignment="1">
      <alignment horizontal="center"/>
    </xf>
    <xf numFmtId="165" fontId="2" fillId="0" borderId="0" xfId="1" applyNumberFormat="1" applyFont="1" applyBorder="1" applyAlignment="1">
      <alignment horizontal="right"/>
    </xf>
    <xf numFmtId="165" fontId="2" fillId="0" borderId="0" xfId="1" applyNumberFormat="1" applyFont="1" applyBorder="1"/>
    <xf numFmtId="165" fontId="14" fillId="0" borderId="0" xfId="1" applyNumberFormat="1" applyFont="1" applyFill="1" applyBorder="1"/>
    <xf numFmtId="165" fontId="14" fillId="0" borderId="0" xfId="1" applyNumberFormat="1" applyFont="1" applyBorder="1"/>
    <xf numFmtId="165" fontId="16" fillId="0" borderId="0" xfId="1" applyNumberFormat="1" applyFont="1" applyBorder="1"/>
    <xf numFmtId="165" fontId="2" fillId="0" borderId="0" xfId="1" applyNumberFormat="1" applyFont="1" applyFill="1" applyBorder="1"/>
    <xf numFmtId="165" fontId="39" fillId="0" borderId="0" xfId="0" applyNumberFormat="1" applyFont="1"/>
    <xf numFmtId="165" fontId="14" fillId="0" borderId="0" xfId="1" applyNumberFormat="1" applyFont="1" applyBorder="1" applyAlignment="1">
      <alignment horizontal="right"/>
    </xf>
    <xf numFmtId="165" fontId="2" fillId="0" borderId="50" xfId="1" applyNumberFormat="1" applyFont="1" applyFill="1" applyBorder="1"/>
    <xf numFmtId="0" fontId="3" fillId="2" borderId="24" xfId="1" applyNumberFormat="1" applyFont="1" applyFill="1" applyBorder="1" applyAlignment="1">
      <alignment horizontal="center"/>
    </xf>
    <xf numFmtId="0" fontId="3" fillId="0" borderId="25" xfId="1" applyNumberFormat="1" applyFont="1" applyFill="1" applyBorder="1" applyAlignment="1">
      <alignment horizontal="center"/>
    </xf>
    <xf numFmtId="165" fontId="2" fillId="2" borderId="49" xfId="1" applyNumberFormat="1" applyFont="1" applyFill="1" applyBorder="1" applyAlignment="1">
      <alignment horizontal="right"/>
    </xf>
    <xf numFmtId="165" fontId="2" fillId="0" borderId="11" xfId="1" applyNumberFormat="1" applyFont="1" applyFill="1" applyBorder="1"/>
    <xf numFmtId="165" fontId="2" fillId="2" borderId="27" xfId="1" applyNumberFormat="1" applyFont="1" applyFill="1" applyBorder="1"/>
    <xf numFmtId="165" fontId="2" fillId="0" borderId="51" xfId="1" applyNumberFormat="1" applyFont="1" applyFill="1" applyBorder="1"/>
    <xf numFmtId="165" fontId="14" fillId="2" borderId="49" xfId="1" applyNumberFormat="1" applyFont="1" applyFill="1" applyBorder="1"/>
    <xf numFmtId="165" fontId="14" fillId="0" borderId="11" xfId="1" applyNumberFormat="1" applyFont="1" applyFill="1" applyBorder="1"/>
    <xf numFmtId="165" fontId="16" fillId="2" borderId="49" xfId="1" applyNumberFormat="1" applyFont="1" applyFill="1" applyBorder="1"/>
    <xf numFmtId="165" fontId="16" fillId="0" borderId="11" xfId="1" applyNumberFormat="1" applyFont="1" applyFill="1" applyBorder="1"/>
    <xf numFmtId="165" fontId="2" fillId="2" borderId="49" xfId="1" applyNumberFormat="1" applyFont="1" applyFill="1" applyBorder="1"/>
    <xf numFmtId="165" fontId="25" fillId="2" borderId="49" xfId="1" applyNumberFormat="1" applyFont="1" applyFill="1" applyBorder="1"/>
    <xf numFmtId="165" fontId="11" fillId="0" borderId="11" xfId="1" applyNumberFormat="1" applyFont="1" applyFill="1" applyBorder="1"/>
    <xf numFmtId="165" fontId="11" fillId="2" borderId="49" xfId="1" applyNumberFormat="1" applyFont="1" applyFill="1" applyBorder="1"/>
    <xf numFmtId="165" fontId="3" fillId="2" borderId="27" xfId="1" applyNumberFormat="1" applyFont="1" applyFill="1" applyBorder="1"/>
    <xf numFmtId="165" fontId="39" fillId="0" borderId="50" xfId="0" applyNumberFormat="1" applyFont="1" applyBorder="1"/>
    <xf numFmtId="165" fontId="3" fillId="2" borderId="49" xfId="1" applyNumberFormat="1" applyFont="1" applyFill="1" applyBorder="1"/>
    <xf numFmtId="165" fontId="14" fillId="2" borderId="52" xfId="1" applyNumberFormat="1" applyFont="1" applyFill="1" applyBorder="1"/>
    <xf numFmtId="165" fontId="14" fillId="0" borderId="53" xfId="1" applyNumberFormat="1" applyFont="1" applyFill="1" applyBorder="1"/>
    <xf numFmtId="165" fontId="14" fillId="0" borderId="4" xfId="1" applyNumberFormat="1" applyFont="1" applyFill="1" applyBorder="1"/>
    <xf numFmtId="0" fontId="2" fillId="3" borderId="54" xfId="0" applyFont="1" applyFill="1" applyBorder="1"/>
    <xf numFmtId="0" fontId="2" fillId="3" borderId="55" xfId="0" applyFont="1" applyFill="1" applyBorder="1"/>
    <xf numFmtId="165" fontId="25" fillId="3" borderId="6" xfId="1" applyNumberFormat="1" applyFont="1" applyFill="1" applyBorder="1"/>
    <xf numFmtId="165" fontId="11" fillId="3" borderId="6" xfId="1" applyNumberFormat="1" applyFont="1" applyFill="1" applyBorder="1"/>
    <xf numFmtId="165" fontId="3" fillId="3" borderId="55" xfId="1" applyNumberFormat="1" applyFont="1" applyFill="1" applyBorder="1"/>
    <xf numFmtId="165" fontId="3" fillId="3" borderId="6" xfId="1" applyNumberFormat="1" applyFont="1" applyFill="1" applyBorder="1"/>
    <xf numFmtId="0" fontId="3" fillId="0" borderId="39" xfId="0" applyFont="1" applyBorder="1" applyAlignment="1">
      <alignment horizontal="center"/>
    </xf>
    <xf numFmtId="165" fontId="2" fillId="0" borderId="6" xfId="1" applyNumberFormat="1" applyFont="1" applyBorder="1" applyAlignment="1">
      <alignment horizontal="right"/>
    </xf>
    <xf numFmtId="165" fontId="2" fillId="0" borderId="55" xfId="1" applyNumberFormat="1" applyFont="1" applyBorder="1"/>
    <xf numFmtId="165" fontId="14" fillId="0" borderId="6" xfId="1" applyNumberFormat="1" applyFont="1" applyFill="1" applyBorder="1"/>
    <xf numFmtId="165" fontId="14" fillId="0" borderId="6" xfId="1" applyNumberFormat="1" applyFont="1" applyBorder="1"/>
    <xf numFmtId="165" fontId="25" fillId="0" borderId="6" xfId="0" applyNumberFormat="1" applyFont="1" applyBorder="1"/>
    <xf numFmtId="165" fontId="2" fillId="0" borderId="6" xfId="1" applyNumberFormat="1" applyFont="1" applyBorder="1"/>
    <xf numFmtId="165" fontId="39" fillId="0" borderId="6" xfId="0" applyNumberFormat="1" applyFont="1" applyBorder="1"/>
    <xf numFmtId="1" fontId="19" fillId="0" borderId="5" xfId="1" applyNumberFormat="1" applyFont="1" applyFill="1" applyBorder="1" applyAlignment="1">
      <alignment horizontal="center"/>
    </xf>
    <xf numFmtId="1" fontId="19" fillId="0" borderId="0" xfId="1" applyNumberFormat="1" applyFont="1" applyBorder="1" applyAlignment="1">
      <alignment horizontal="center"/>
    </xf>
    <xf numFmtId="1" fontId="40" fillId="0" borderId="0" xfId="0" applyNumberFormat="1" applyFont="1"/>
    <xf numFmtId="165" fontId="11" fillId="0" borderId="6" xfId="1" applyNumberFormat="1" applyFont="1" applyBorder="1"/>
    <xf numFmtId="165" fontId="11" fillId="0" borderId="0" xfId="1" applyNumberFormat="1" applyFont="1" applyBorder="1"/>
    <xf numFmtId="0" fontId="11" fillId="0" borderId="0" xfId="0" applyFont="1"/>
    <xf numFmtId="44" fontId="0" fillId="0" borderId="34" xfId="1" applyFont="1" applyBorder="1"/>
    <xf numFmtId="44" fontId="0" fillId="0" borderId="0" xfId="1" applyFont="1" applyBorder="1"/>
    <xf numFmtId="44" fontId="0" fillId="0" borderId="1" xfId="1" applyFont="1" applyBorder="1"/>
    <xf numFmtId="0" fontId="35" fillId="0" borderId="0" xfId="0" applyFont="1" applyAlignment="1">
      <alignment wrapText="1"/>
    </xf>
    <xf numFmtId="0" fontId="35" fillId="0" borderId="0" xfId="0" quotePrefix="1" applyFont="1" applyAlignment="1">
      <alignment vertical="top" wrapText="1"/>
    </xf>
    <xf numFmtId="0" fontId="11" fillId="0" borderId="34" xfId="0" applyFont="1" applyBorder="1" applyAlignment="1">
      <alignment horizontal="left"/>
    </xf>
    <xf numFmtId="165" fontId="0" fillId="0" borderId="0" xfId="1" applyNumberFormat="1" applyFont="1" applyBorder="1"/>
    <xf numFmtId="165" fontId="0" fillId="0" borderId="1" xfId="1" applyNumberFormat="1" applyFont="1" applyBorder="1"/>
    <xf numFmtId="9" fontId="3" fillId="0" borderId="1" xfId="0" applyNumberFormat="1" applyFont="1" applyBorder="1"/>
    <xf numFmtId="165" fontId="17" fillId="0" borderId="0" xfId="1" applyNumberFormat="1" applyFont="1"/>
    <xf numFmtId="165" fontId="17" fillId="0" borderId="0" xfId="1" applyNumberFormat="1" applyFont="1" applyFill="1"/>
    <xf numFmtId="167" fontId="27" fillId="0" borderId="0" xfId="0" applyNumberFormat="1" applyFont="1"/>
    <xf numFmtId="44" fontId="2" fillId="0" borderId="29" xfId="1" applyFont="1" applyBorder="1"/>
    <xf numFmtId="44" fontId="2" fillId="0" borderId="28" xfId="1" applyFont="1" applyBorder="1"/>
    <xf numFmtId="9" fontId="0" fillId="0" borderId="0" xfId="0" applyNumberFormat="1" applyAlignment="1">
      <alignment horizontal="right"/>
    </xf>
    <xf numFmtId="0" fontId="0" fillId="0" borderId="56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167" fontId="0" fillId="0" borderId="36" xfId="0" applyNumberFormat="1" applyBorder="1"/>
    <xf numFmtId="167" fontId="0" fillId="0" borderId="26" xfId="0" applyNumberFormat="1" applyBorder="1"/>
    <xf numFmtId="165" fontId="2" fillId="0" borderId="0" xfId="1" applyNumberFormat="1" applyFont="1"/>
    <xf numFmtId="165" fontId="11" fillId="0" borderId="0" xfId="1" applyNumberFormat="1" applyFont="1"/>
    <xf numFmtId="167" fontId="2" fillId="0" borderId="0" xfId="0" applyNumberFormat="1" applyFont="1"/>
    <xf numFmtId="167" fontId="11" fillId="0" borderId="0" xfId="0" applyNumberFormat="1" applyFont="1"/>
    <xf numFmtId="0" fontId="9" fillId="0" borderId="44" xfId="0" applyFont="1" applyBorder="1"/>
    <xf numFmtId="1" fontId="2" fillId="0" borderId="12" xfId="0" applyNumberFormat="1" applyFont="1" applyBorder="1" applyAlignment="1">
      <alignment horizontal="center" vertical="top" wrapText="1"/>
    </xf>
    <xf numFmtId="38" fontId="2" fillId="0" borderId="1" xfId="1" applyNumberFormat="1" applyFont="1" applyBorder="1" applyAlignment="1">
      <alignment horizont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 wrapText="1"/>
    </xf>
    <xf numFmtId="44" fontId="0" fillId="0" borderId="0" xfId="1" applyFont="1" applyAlignment="1">
      <alignment horizontal="right"/>
    </xf>
    <xf numFmtId="44" fontId="26" fillId="0" borderId="0" xfId="1" applyFont="1" applyAlignment="1">
      <alignment horizontal="center"/>
    </xf>
    <xf numFmtId="167" fontId="0" fillId="0" borderId="0" xfId="1" applyNumberFormat="1" applyFont="1"/>
    <xf numFmtId="5" fontId="0" fillId="0" borderId="0" xfId="1" applyNumberFormat="1" applyFont="1"/>
    <xf numFmtId="5" fontId="26" fillId="0" borderId="0" xfId="1" applyNumberFormat="1" applyFont="1"/>
    <xf numFmtId="166" fontId="0" fillId="0" borderId="0" xfId="0" applyNumberFormat="1"/>
    <xf numFmtId="0" fontId="0" fillId="0" borderId="19" xfId="0" applyBorder="1" applyAlignment="1">
      <alignment horizontal="left"/>
    </xf>
    <xf numFmtId="0" fontId="0" fillId="0" borderId="11" xfId="0" applyBorder="1" applyAlignment="1">
      <alignment horizontal="center"/>
    </xf>
    <xf numFmtId="0" fontId="0" fillId="0" borderId="41" xfId="0" applyBorder="1" applyAlignment="1">
      <alignment horizontal="left"/>
    </xf>
    <xf numFmtId="0" fontId="0" fillId="0" borderId="1" xfId="0" applyBorder="1" applyAlignment="1">
      <alignment horizontal="center"/>
    </xf>
    <xf numFmtId="167" fontId="0" fillId="2" borderId="11" xfId="0" applyNumberFormat="1" applyFill="1" applyBorder="1" applyAlignment="1">
      <alignment horizontal="right"/>
    </xf>
    <xf numFmtId="167" fontId="0" fillId="2" borderId="42" xfId="0" applyNumberFormat="1" applyFill="1" applyBorder="1" applyAlignment="1">
      <alignment horizontal="right"/>
    </xf>
    <xf numFmtId="167" fontId="0" fillId="0" borderId="19" xfId="0" applyNumberFormat="1" applyBorder="1"/>
    <xf numFmtId="167" fontId="0" fillId="0" borderId="11" xfId="0" applyNumberFormat="1" applyBorder="1"/>
    <xf numFmtId="167" fontId="0" fillId="0" borderId="20" xfId="0" applyNumberFormat="1" applyBorder="1"/>
    <xf numFmtId="167" fontId="0" fillId="0" borderId="23" xfId="0" applyNumberFormat="1" applyBorder="1"/>
    <xf numFmtId="167" fontId="0" fillId="0" borderId="21" xfId="0" applyNumberFormat="1" applyBorder="1"/>
    <xf numFmtId="0" fontId="19" fillId="0" borderId="0" xfId="0" applyFont="1"/>
    <xf numFmtId="165" fontId="11" fillId="0" borderId="0" xfId="0" applyNumberFormat="1" applyFont="1"/>
    <xf numFmtId="16" fontId="0" fillId="0" borderId="0" xfId="0" quotePrefix="1" applyNumberFormat="1" applyAlignment="1">
      <alignment horizontal="right"/>
    </xf>
    <xf numFmtId="1" fontId="4" fillId="0" borderId="0" xfId="0" applyNumberFormat="1" applyFont="1" applyAlignment="1">
      <alignment horizontal="right"/>
    </xf>
    <xf numFmtId="5" fontId="42" fillId="0" borderId="0" xfId="1" applyNumberFormat="1" applyFont="1"/>
    <xf numFmtId="167" fontId="2" fillId="0" borderId="0" xfId="1" applyNumberFormat="1" applyFont="1"/>
    <xf numFmtId="167" fontId="11" fillId="0" borderId="0" xfId="1" applyNumberFormat="1" applyFont="1"/>
    <xf numFmtId="165" fontId="14" fillId="3" borderId="54" xfId="0" applyNumberFormat="1" applyFont="1" applyFill="1" applyBorder="1"/>
    <xf numFmtId="167" fontId="43" fillId="0" borderId="0" xfId="0" applyNumberFormat="1" applyFont="1"/>
    <xf numFmtId="44" fontId="2" fillId="0" borderId="0" xfId="1" applyFont="1" applyBorder="1"/>
    <xf numFmtId="0" fontId="3" fillId="0" borderId="0" xfId="0" applyFont="1" applyAlignment="1">
      <alignment wrapText="1"/>
    </xf>
    <xf numFmtId="44" fontId="3" fillId="0" borderId="0" xfId="1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vertical="center" wrapText="1"/>
    </xf>
    <xf numFmtId="6" fontId="3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6" fontId="2" fillId="0" borderId="0" xfId="0" applyNumberFormat="1" applyFont="1" applyAlignment="1">
      <alignment horizontal="center" vertical="center" wrapText="1"/>
    </xf>
    <xf numFmtId="167" fontId="2" fillId="0" borderId="0" xfId="0" applyNumberFormat="1" applyFont="1" applyAlignment="1">
      <alignment horizontal="center" vertical="center"/>
    </xf>
    <xf numFmtId="6" fontId="2" fillId="0" borderId="0" xfId="1" applyNumberFormat="1" applyFont="1" applyBorder="1" applyAlignment="1">
      <alignment horizontal="center"/>
    </xf>
    <xf numFmtId="0" fontId="2" fillId="0" borderId="0" xfId="0" applyFont="1" applyAlignment="1">
      <alignment horizontal="left"/>
    </xf>
    <xf numFmtId="167" fontId="22" fillId="0" borderId="0" xfId="1" applyNumberFormat="1" applyFont="1"/>
    <xf numFmtId="0" fontId="4" fillId="5" borderId="12" xfId="0" applyFont="1" applyFill="1" applyBorder="1" applyAlignment="1">
      <alignment horizontal="center"/>
    </xf>
    <xf numFmtId="0" fontId="2" fillId="5" borderId="33" xfId="0" applyFont="1" applyFill="1" applyBorder="1"/>
    <xf numFmtId="0" fontId="2" fillId="5" borderId="14" xfId="0" applyFont="1" applyFill="1" applyBorder="1"/>
    <xf numFmtId="165" fontId="24" fillId="5" borderId="12" xfId="0" applyNumberFormat="1" applyFont="1" applyFill="1" applyBorder="1"/>
    <xf numFmtId="165" fontId="14" fillId="5" borderId="47" xfId="1" applyNumberFormat="1" applyFont="1" applyFill="1" applyBorder="1"/>
    <xf numFmtId="165" fontId="1" fillId="5" borderId="47" xfId="1" applyNumberFormat="1" applyFont="1" applyFill="1" applyBorder="1"/>
    <xf numFmtId="165" fontId="26" fillId="5" borderId="47" xfId="1" applyNumberFormat="1" applyFont="1" applyFill="1" applyBorder="1"/>
    <xf numFmtId="165" fontId="22" fillId="5" borderId="47" xfId="1" applyNumberFormat="1" applyFont="1" applyFill="1" applyBorder="1"/>
    <xf numFmtId="165" fontId="4" fillId="5" borderId="28" xfId="1" applyNumberFormat="1" applyFont="1" applyFill="1" applyBorder="1"/>
    <xf numFmtId="165" fontId="3" fillId="5" borderId="47" xfId="1" applyNumberFormat="1" applyFont="1" applyFill="1" applyBorder="1"/>
    <xf numFmtId="165" fontId="24" fillId="5" borderId="28" xfId="1" applyNumberFormat="1" applyFont="1" applyFill="1" applyBorder="1"/>
    <xf numFmtId="167" fontId="29" fillId="0" borderId="57" xfId="0" applyNumberFormat="1" applyFont="1" applyBorder="1"/>
    <xf numFmtId="167" fontId="29" fillId="0" borderId="12" xfId="0" applyNumberFormat="1" applyFont="1" applyBorder="1"/>
    <xf numFmtId="1" fontId="0" fillId="0" borderId="0" xfId="0" quotePrefix="1" applyNumberFormat="1" applyAlignment="1">
      <alignment horizontal="right"/>
    </xf>
    <xf numFmtId="0" fontId="3" fillId="0" borderId="5" xfId="0" applyFont="1" applyBorder="1" applyAlignment="1">
      <alignment horizontal="center" vertical="center" wrapText="1"/>
    </xf>
    <xf numFmtId="165" fontId="16" fillId="0" borderId="6" xfId="1" applyNumberFormat="1" applyFont="1" applyFill="1" applyBorder="1"/>
    <xf numFmtId="165" fontId="3" fillId="0" borderId="4" xfId="0" applyNumberFormat="1" applyFont="1" applyBorder="1"/>
    <xf numFmtId="44" fontId="10" fillId="0" borderId="33" xfId="1" applyFont="1" applyBorder="1" applyAlignment="1">
      <alignment horizontal="center"/>
    </xf>
    <xf numFmtId="0" fontId="10" fillId="0" borderId="14" xfId="1" applyNumberFormat="1" applyFont="1" applyFill="1" applyBorder="1" applyAlignment="1">
      <alignment horizontal="center"/>
    </xf>
    <xf numFmtId="165" fontId="1" fillId="0" borderId="33" xfId="1" applyNumberFormat="1" applyFont="1" applyBorder="1"/>
    <xf numFmtId="44" fontId="2" fillId="0" borderId="13" xfId="1" applyFont="1" applyBorder="1"/>
    <xf numFmtId="44" fontId="4" fillId="6" borderId="45" xfId="1" applyFont="1" applyFill="1" applyBorder="1" applyAlignment="1">
      <alignment horizontal="center"/>
    </xf>
    <xf numFmtId="165" fontId="17" fillId="0" borderId="46" xfId="1" applyNumberFormat="1" applyFont="1" applyBorder="1"/>
    <xf numFmtId="7" fontId="6" fillId="0" borderId="46" xfId="1" applyNumberFormat="1" applyFont="1" applyBorder="1"/>
    <xf numFmtId="37" fontId="6" fillId="0" borderId="46" xfId="1" applyNumberFormat="1" applyFont="1" applyBorder="1"/>
    <xf numFmtId="7" fontId="12" fillId="0" borderId="46" xfId="1" applyNumberFormat="1" applyFont="1" applyFill="1" applyBorder="1"/>
    <xf numFmtId="7" fontId="6" fillId="0" borderId="46" xfId="1" applyNumberFormat="1" applyFont="1" applyFill="1" applyBorder="1"/>
    <xf numFmtId="7" fontId="12" fillId="0" borderId="46" xfId="1" applyNumberFormat="1" applyFont="1" applyBorder="1"/>
    <xf numFmtId="165" fontId="10" fillId="0" borderId="46" xfId="0" applyNumberFormat="1" applyFont="1" applyBorder="1"/>
    <xf numFmtId="44" fontId="4" fillId="0" borderId="46" xfId="1" applyFont="1" applyBorder="1"/>
    <xf numFmtId="7" fontId="15" fillId="0" borderId="46" xfId="1" applyNumberFormat="1" applyFont="1" applyBorder="1"/>
    <xf numFmtId="167" fontId="0" fillId="0" borderId="59" xfId="0" applyNumberFormat="1" applyBorder="1"/>
    <xf numFmtId="167" fontId="31" fillId="0" borderId="48" xfId="0" applyNumberFormat="1" applyFont="1" applyBorder="1"/>
    <xf numFmtId="37" fontId="6" fillId="0" borderId="0" xfId="1" applyNumberFormat="1" applyFont="1" applyFill="1"/>
    <xf numFmtId="44" fontId="4" fillId="0" borderId="0" xfId="1" applyFont="1" applyFill="1"/>
    <xf numFmtId="7" fontId="15" fillId="0" borderId="0" xfId="1" applyNumberFormat="1" applyFont="1" applyFill="1"/>
    <xf numFmtId="0" fontId="4" fillId="0" borderId="0" xfId="0" applyFont="1"/>
    <xf numFmtId="37" fontId="6" fillId="0" borderId="0" xfId="0" applyNumberFormat="1" applyFont="1"/>
    <xf numFmtId="3" fontId="2" fillId="0" borderId="6" xfId="0" applyNumberFormat="1" applyFont="1" applyBorder="1"/>
    <xf numFmtId="165" fontId="14" fillId="0" borderId="7" xfId="1" applyNumberFormat="1" applyFont="1" applyFill="1" applyBorder="1"/>
    <xf numFmtId="3" fontId="2" fillId="0" borderId="0" xfId="0" applyNumberFormat="1" applyFont="1"/>
    <xf numFmtId="165" fontId="2" fillId="0" borderId="19" xfId="0" applyNumberFormat="1" applyFont="1" applyBorder="1"/>
    <xf numFmtId="165" fontId="16" fillId="0" borderId="0" xfId="1" applyNumberFormat="1" applyFont="1" applyFill="1" applyBorder="1"/>
    <xf numFmtId="7" fontId="6" fillId="3" borderId="0" xfId="1" applyNumberFormat="1" applyFont="1" applyFill="1"/>
    <xf numFmtId="44" fontId="4" fillId="0" borderId="46" xfId="1" applyFont="1" applyFill="1" applyBorder="1"/>
    <xf numFmtId="7" fontId="15" fillId="0" borderId="0" xfId="1" applyNumberFormat="1" applyFont="1" applyFill="1" applyBorder="1"/>
    <xf numFmtId="0" fontId="44" fillId="0" borderId="0" xfId="0" applyFont="1"/>
    <xf numFmtId="165" fontId="14" fillId="0" borderId="5" xfId="1" applyNumberFormat="1" applyFont="1" applyFill="1" applyBorder="1"/>
    <xf numFmtId="165" fontId="14" fillId="0" borderId="39" xfId="1" applyNumberFormat="1" applyFont="1" applyFill="1" applyBorder="1"/>
    <xf numFmtId="165" fontId="14" fillId="0" borderId="60" xfId="1" applyNumberFormat="1" applyFont="1" applyFill="1" applyBorder="1"/>
    <xf numFmtId="7" fontId="15" fillId="0" borderId="0" xfId="1" applyNumberFormat="1" applyFont="1" applyBorder="1"/>
    <xf numFmtId="44" fontId="4" fillId="0" borderId="45" xfId="1" applyFont="1" applyFill="1" applyBorder="1" applyAlignment="1">
      <alignment horizontal="center"/>
    </xf>
    <xf numFmtId="165" fontId="17" fillId="0" borderId="46" xfId="1" applyNumberFormat="1" applyFont="1" applyFill="1" applyBorder="1"/>
    <xf numFmtId="37" fontId="6" fillId="0" borderId="46" xfId="1" applyNumberFormat="1" applyFont="1" applyFill="1" applyBorder="1"/>
    <xf numFmtId="7" fontId="7" fillId="0" borderId="0" xfId="1" applyNumberFormat="1" applyFont="1" applyFill="1"/>
    <xf numFmtId="7" fontId="15" fillId="0" borderId="46" xfId="1" applyNumberFormat="1" applyFont="1" applyFill="1" applyBorder="1"/>
    <xf numFmtId="0" fontId="2" fillId="0" borderId="0" xfId="0" applyFont="1" applyAlignment="1">
      <alignment horizontal="left" vertical="top" wrapText="1"/>
    </xf>
    <xf numFmtId="38" fontId="2" fillId="0" borderId="0" xfId="1" applyNumberFormat="1" applyFont="1" applyBorder="1" applyAlignment="1">
      <alignment horizontal="center"/>
    </xf>
    <xf numFmtId="165" fontId="2" fillId="0" borderId="0" xfId="0" applyNumberFormat="1" applyFont="1" applyAlignment="1">
      <alignment horizontal="center" wrapText="1"/>
    </xf>
    <xf numFmtId="169" fontId="22" fillId="0" borderId="0" xfId="0" applyNumberFormat="1" applyFont="1"/>
    <xf numFmtId="169" fontId="0" fillId="0" borderId="0" xfId="0" applyNumberFormat="1"/>
    <xf numFmtId="165" fontId="3" fillId="0" borderId="19" xfId="0" applyNumberFormat="1" applyFont="1" applyBorder="1"/>
    <xf numFmtId="165" fontId="14" fillId="0" borderId="20" xfId="1" applyNumberFormat="1" applyFont="1" applyFill="1" applyBorder="1"/>
    <xf numFmtId="0" fontId="3" fillId="3" borderId="55" xfId="0" applyFont="1" applyFill="1" applyBorder="1" applyAlignment="1">
      <alignment horizontal="center"/>
    </xf>
    <xf numFmtId="1" fontId="19" fillId="0" borderId="40" xfId="0" applyNumberFormat="1" applyFont="1" applyBorder="1" applyAlignment="1">
      <alignment horizontal="center"/>
    </xf>
    <xf numFmtId="0" fontId="2" fillId="0" borderId="61" xfId="0" applyFont="1" applyBorder="1"/>
    <xf numFmtId="0" fontId="3" fillId="0" borderId="61" xfId="0" applyFont="1" applyBorder="1" applyAlignment="1">
      <alignment horizontal="center" wrapText="1"/>
    </xf>
    <xf numFmtId="0" fontId="19" fillId="0" borderId="48" xfId="0" applyFont="1" applyBorder="1" applyAlignment="1">
      <alignment horizontal="center"/>
    </xf>
    <xf numFmtId="0" fontId="3" fillId="0" borderId="51" xfId="0" applyFont="1" applyBorder="1" applyAlignment="1">
      <alignment horizontal="center"/>
    </xf>
    <xf numFmtId="0" fontId="2" fillId="0" borderId="50" xfId="0" applyFont="1" applyBorder="1"/>
    <xf numFmtId="165" fontId="14" fillId="0" borderId="50" xfId="0" applyNumberFormat="1" applyFont="1" applyBorder="1"/>
    <xf numFmtId="165" fontId="2" fillId="0" borderId="50" xfId="0" applyNumberFormat="1" applyFont="1" applyBorder="1"/>
    <xf numFmtId="165" fontId="3" fillId="0" borderId="50" xfId="0" applyNumberFormat="1" applyFont="1" applyBorder="1"/>
    <xf numFmtId="165" fontId="11" fillId="0" borderId="50" xfId="0" applyNumberFormat="1" applyFont="1" applyBorder="1"/>
    <xf numFmtId="165" fontId="3" fillId="0" borderId="51" xfId="0" applyNumberFormat="1" applyFont="1" applyBorder="1"/>
    <xf numFmtId="0" fontId="2" fillId="0" borderId="23" xfId="0" applyFont="1" applyBorder="1"/>
    <xf numFmtId="0" fontId="2" fillId="0" borderId="6" xfId="0" applyFont="1" applyBorder="1"/>
    <xf numFmtId="165" fontId="14" fillId="0" borderId="6" xfId="0" applyNumberFormat="1" applyFont="1" applyBorder="1"/>
    <xf numFmtId="165" fontId="3" fillId="0" borderId="55" xfId="0" applyNumberFormat="1" applyFont="1" applyBorder="1"/>
    <xf numFmtId="165" fontId="14" fillId="0" borderId="7" xfId="0" applyNumberFormat="1" applyFont="1" applyBorder="1"/>
    <xf numFmtId="0" fontId="19" fillId="0" borderId="5" xfId="0" applyFont="1" applyBorder="1" applyAlignment="1">
      <alignment horizontal="center" wrapText="1"/>
    </xf>
    <xf numFmtId="0" fontId="19" fillId="0" borderId="1" xfId="0" applyFont="1" applyBorder="1" applyAlignment="1">
      <alignment horizontal="center" vertical="center" wrapText="1"/>
    </xf>
    <xf numFmtId="0" fontId="0" fillId="0" borderId="19" xfId="0" applyBorder="1"/>
    <xf numFmtId="0" fontId="0" fillId="0" borderId="11" xfId="0" applyBorder="1"/>
    <xf numFmtId="0" fontId="0" fillId="0" borderId="21" xfId="0" applyBorder="1"/>
    <xf numFmtId="165" fontId="27" fillId="0" borderId="0" xfId="0" applyNumberFormat="1" applyFont="1"/>
    <xf numFmtId="7" fontId="6" fillId="7" borderId="0" xfId="1" applyNumberFormat="1" applyFont="1" applyFill="1"/>
    <xf numFmtId="167" fontId="0" fillId="0" borderId="49" xfId="0" applyNumberFormat="1" applyBorder="1"/>
    <xf numFmtId="167" fontId="0" fillId="0" borderId="13" xfId="0" applyNumberFormat="1" applyBorder="1"/>
    <xf numFmtId="167" fontId="0" fillId="0" borderId="53" xfId="0" applyNumberFormat="1" applyBorder="1"/>
    <xf numFmtId="167" fontId="0" fillId="0" borderId="50" xfId="0" applyNumberFormat="1" applyBorder="1"/>
    <xf numFmtId="167" fontId="31" fillId="0" borderId="25" xfId="0" applyNumberFormat="1" applyFont="1" applyBorder="1"/>
    <xf numFmtId="167" fontId="0" fillId="0" borderId="1" xfId="0" applyNumberFormat="1" applyBorder="1"/>
    <xf numFmtId="167" fontId="0" fillId="0" borderId="16" xfId="0" applyNumberFormat="1" applyBorder="1"/>
    <xf numFmtId="167" fontId="33" fillId="0" borderId="5" xfId="0" applyNumberFormat="1" applyFont="1" applyBorder="1"/>
    <xf numFmtId="167" fontId="33" fillId="0" borderId="39" xfId="0" applyNumberFormat="1" applyFont="1" applyBorder="1"/>
    <xf numFmtId="0" fontId="0" fillId="0" borderId="43" xfId="0" applyBorder="1" applyAlignment="1">
      <alignment horizontal="center" vertical="center" wrapText="1"/>
    </xf>
    <xf numFmtId="167" fontId="0" fillId="0" borderId="27" xfId="0" applyNumberFormat="1" applyBorder="1"/>
    <xf numFmtId="167" fontId="0" fillId="0" borderId="14" xfId="0" applyNumberFormat="1" applyBorder="1"/>
    <xf numFmtId="167" fontId="0" fillId="0" borderId="51" xfId="0" applyNumberFormat="1" applyBorder="1"/>
    <xf numFmtId="0" fontId="0" fillId="0" borderId="30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/>
    </xf>
    <xf numFmtId="165" fontId="17" fillId="7" borderId="0" xfId="1" applyNumberFormat="1" applyFont="1" applyFill="1"/>
    <xf numFmtId="7" fontId="6" fillId="7" borderId="0" xfId="1" applyNumberFormat="1" applyFont="1" applyFill="1" applyBorder="1"/>
    <xf numFmtId="165" fontId="10" fillId="7" borderId="0" xfId="0" applyNumberFormat="1" applyFont="1" applyFill="1"/>
    <xf numFmtId="7" fontId="15" fillId="7" borderId="0" xfId="1" applyNumberFormat="1" applyFont="1" applyFill="1"/>
    <xf numFmtId="165" fontId="14" fillId="0" borderId="27" xfId="1" applyNumberFormat="1" applyFont="1" applyFill="1" applyBorder="1"/>
    <xf numFmtId="0" fontId="0" fillId="0" borderId="0" xfId="0" quotePrefix="1"/>
    <xf numFmtId="167" fontId="0" fillId="0" borderId="52" xfId="0" applyNumberFormat="1" applyBorder="1"/>
    <xf numFmtId="167" fontId="0" fillId="0" borderId="62" xfId="0" applyNumberFormat="1" applyBorder="1"/>
    <xf numFmtId="167" fontId="0" fillId="0" borderId="30" xfId="0" applyNumberFormat="1" applyBorder="1"/>
    <xf numFmtId="167" fontId="0" fillId="0" borderId="31" xfId="0" applyNumberFormat="1" applyBorder="1"/>
    <xf numFmtId="167" fontId="0" fillId="0" borderId="32" xfId="0" applyNumberFormat="1" applyBorder="1"/>
    <xf numFmtId="0" fontId="0" fillId="0" borderId="63" xfId="0" applyBorder="1"/>
    <xf numFmtId="167" fontId="31" fillId="0" borderId="64" xfId="0" applyNumberFormat="1" applyFont="1" applyBorder="1"/>
    <xf numFmtId="167" fontId="31" fillId="0" borderId="30" xfId="0" applyNumberFormat="1" applyFont="1" applyBorder="1"/>
    <xf numFmtId="167" fontId="37" fillId="0" borderId="31" xfId="0" applyNumberFormat="1" applyFont="1" applyBorder="1"/>
    <xf numFmtId="167" fontId="31" fillId="0" borderId="32" xfId="0" applyNumberFormat="1" applyFont="1" applyBorder="1"/>
    <xf numFmtId="167" fontId="0" fillId="0" borderId="65" xfId="0" applyNumberFormat="1" applyBorder="1"/>
    <xf numFmtId="167" fontId="29" fillId="0" borderId="33" xfId="0" applyNumberFormat="1" applyFont="1" applyBorder="1"/>
    <xf numFmtId="167" fontId="27" fillId="0" borderId="64" xfId="0" applyNumberFormat="1" applyFont="1" applyBorder="1"/>
    <xf numFmtId="167" fontId="29" fillId="0" borderId="30" xfId="0" applyNumberFormat="1" applyFont="1" applyBorder="1"/>
    <xf numFmtId="167" fontId="29" fillId="0" borderId="31" xfId="0" applyNumberFormat="1" applyFont="1" applyBorder="1"/>
    <xf numFmtId="167" fontId="32" fillId="0" borderId="32" xfId="0" applyNumberFormat="1" applyFont="1" applyBorder="1"/>
    <xf numFmtId="0" fontId="3" fillId="0" borderId="5" xfId="0" applyFont="1" applyBorder="1"/>
    <xf numFmtId="7" fontId="6" fillId="0" borderId="1" xfId="1" applyNumberFormat="1" applyFont="1" applyFill="1" applyBorder="1"/>
    <xf numFmtId="165" fontId="17" fillId="0" borderId="0" xfId="1" applyNumberFormat="1" applyFont="1" applyFill="1" applyBorder="1"/>
    <xf numFmtId="37" fontId="6" fillId="0" borderId="0" xfId="1" applyNumberFormat="1" applyFont="1" applyFill="1" applyBorder="1"/>
    <xf numFmtId="7" fontId="12" fillId="0" borderId="0" xfId="1" applyNumberFormat="1" applyFont="1" applyFill="1" applyBorder="1"/>
    <xf numFmtId="44" fontId="4" fillId="0" borderId="0" xfId="1" applyFont="1" applyFill="1" applyBorder="1"/>
    <xf numFmtId="0" fontId="19" fillId="7" borderId="5" xfId="0" applyFont="1" applyFill="1" applyBorder="1" applyAlignment="1">
      <alignment horizontal="center" vertical="center" wrapText="1"/>
    </xf>
    <xf numFmtId="165" fontId="2" fillId="3" borderId="6" xfId="0" applyNumberFormat="1" applyFont="1" applyFill="1" applyBorder="1"/>
    <xf numFmtId="165" fontId="2" fillId="7" borderId="6" xfId="0" applyNumberFormat="1" applyFont="1" applyFill="1" applyBorder="1"/>
    <xf numFmtId="165" fontId="2" fillId="7" borderId="55" xfId="0" applyNumberFormat="1" applyFont="1" applyFill="1" applyBorder="1"/>
    <xf numFmtId="165" fontId="3" fillId="3" borderId="6" xfId="0" applyNumberFormat="1" applyFont="1" applyFill="1" applyBorder="1"/>
    <xf numFmtId="0" fontId="3" fillId="0" borderId="40" xfId="0" applyFont="1" applyBorder="1" applyAlignment="1">
      <alignment horizontal="center" vertical="center" wrapText="1"/>
    </xf>
    <xf numFmtId="165" fontId="16" fillId="0" borderId="19" xfId="1" applyNumberFormat="1" applyFont="1" applyFill="1" applyBorder="1"/>
    <xf numFmtId="3" fontId="2" fillId="0" borderId="19" xfId="0" applyNumberFormat="1" applyFont="1" applyBorder="1"/>
    <xf numFmtId="165" fontId="11" fillId="0" borderId="19" xfId="0" applyNumberFormat="1" applyFont="1" applyBorder="1"/>
    <xf numFmtId="165" fontId="2" fillId="0" borderId="19" xfId="1" applyNumberFormat="1" applyFont="1" applyFill="1" applyBorder="1"/>
    <xf numFmtId="165" fontId="14" fillId="0" borderId="40" xfId="1" applyNumberFormat="1" applyFont="1" applyFill="1" applyBorder="1"/>
    <xf numFmtId="165" fontId="14" fillId="0" borderId="66" xfId="1" applyNumberFormat="1" applyFont="1" applyFill="1" applyBorder="1"/>
    <xf numFmtId="165" fontId="14" fillId="0" borderId="67" xfId="1" applyNumberFormat="1" applyFont="1" applyFill="1" applyBorder="1"/>
    <xf numFmtId="38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5" xfId="0" quotePrefix="1" applyFont="1" applyBorder="1" applyAlignment="1">
      <alignment horizontal="left"/>
    </xf>
    <xf numFmtId="0" fontId="2" fillId="0" borderId="16" xfId="0" quotePrefix="1" applyFont="1" applyBorder="1" applyAlignment="1">
      <alignment horizontal="left"/>
    </xf>
    <xf numFmtId="0" fontId="2" fillId="0" borderId="17" xfId="0" quotePrefix="1" applyFont="1" applyBorder="1" applyAlignment="1">
      <alignment horizontal="left"/>
    </xf>
    <xf numFmtId="44" fontId="4" fillId="0" borderId="44" xfId="1" applyFont="1" applyBorder="1" applyAlignment="1">
      <alignment horizontal="center"/>
    </xf>
    <xf numFmtId="44" fontId="4" fillId="0" borderId="34" xfId="1" applyFont="1" applyBorder="1" applyAlignment="1">
      <alignment horizontal="center"/>
    </xf>
    <xf numFmtId="44" fontId="4" fillId="0" borderId="29" xfId="1" applyFont="1" applyBorder="1" applyAlignment="1">
      <alignment horizontal="center"/>
    </xf>
    <xf numFmtId="0" fontId="35" fillId="0" borderId="15" xfId="0" quotePrefix="1" applyFont="1" applyBorder="1" applyAlignment="1">
      <alignment horizontal="left"/>
    </xf>
    <xf numFmtId="0" fontId="35" fillId="0" borderId="16" xfId="0" quotePrefix="1" applyFont="1" applyBorder="1" applyAlignment="1">
      <alignment horizontal="left"/>
    </xf>
    <xf numFmtId="0" fontId="35" fillId="0" borderId="17" xfId="0" quotePrefix="1" applyFont="1" applyBorder="1" applyAlignment="1">
      <alignment horizontal="left"/>
    </xf>
    <xf numFmtId="0" fontId="35" fillId="0" borderId="44" xfId="0" quotePrefix="1" applyFont="1" applyBorder="1" applyAlignment="1">
      <alignment horizontal="left" vertical="top" wrapText="1"/>
    </xf>
    <xf numFmtId="0" fontId="35" fillId="0" borderId="34" xfId="0" quotePrefix="1" applyFont="1" applyBorder="1" applyAlignment="1">
      <alignment horizontal="left" vertical="top" wrapText="1"/>
    </xf>
    <xf numFmtId="0" fontId="35" fillId="0" borderId="29" xfId="0" quotePrefix="1" applyFont="1" applyBorder="1" applyAlignment="1">
      <alignment horizontal="left" vertical="top" wrapText="1"/>
    </xf>
    <xf numFmtId="0" fontId="35" fillId="0" borderId="46" xfId="0" quotePrefix="1" applyFont="1" applyBorder="1" applyAlignment="1">
      <alignment horizontal="left" vertical="top" wrapText="1"/>
    </xf>
    <xf numFmtId="0" fontId="35" fillId="0" borderId="0" xfId="0" quotePrefix="1" applyFont="1" applyAlignment="1">
      <alignment horizontal="left" vertical="top" wrapText="1"/>
    </xf>
    <xf numFmtId="0" fontId="35" fillId="0" borderId="47" xfId="0" quotePrefix="1" applyFont="1" applyBorder="1" applyAlignment="1">
      <alignment horizontal="left" vertical="top" wrapText="1"/>
    </xf>
    <xf numFmtId="0" fontId="35" fillId="0" borderId="45" xfId="0" quotePrefix="1" applyFont="1" applyBorder="1" applyAlignment="1">
      <alignment horizontal="left" vertical="top" wrapText="1"/>
    </xf>
    <xf numFmtId="0" fontId="35" fillId="0" borderId="1" xfId="0" quotePrefix="1" applyFont="1" applyBorder="1" applyAlignment="1">
      <alignment horizontal="left" vertical="top" wrapText="1"/>
    </xf>
    <xf numFmtId="0" fontId="35" fillId="0" borderId="28" xfId="0" quotePrefix="1" applyFont="1" applyBorder="1" applyAlignment="1">
      <alignment horizontal="left" vertical="top" wrapText="1"/>
    </xf>
    <xf numFmtId="1" fontId="19" fillId="0" borderId="40" xfId="1" applyNumberFormat="1" applyFont="1" applyBorder="1" applyAlignment="1">
      <alignment horizontal="center"/>
    </xf>
    <xf numFmtId="1" fontId="19" fillId="0" borderId="48" xfId="1" applyNumberFormat="1" applyFont="1" applyBorder="1" applyAlignment="1">
      <alignment horizontal="center"/>
    </xf>
    <xf numFmtId="0" fontId="2" fillId="0" borderId="45" xfId="0" quotePrefix="1" applyFont="1" applyBorder="1" applyAlignment="1">
      <alignment horizontal="left"/>
    </xf>
    <xf numFmtId="0" fontId="2" fillId="0" borderId="1" xfId="0" quotePrefix="1" applyFont="1" applyBorder="1" applyAlignment="1">
      <alignment horizontal="left"/>
    </xf>
    <xf numFmtId="0" fontId="2" fillId="0" borderId="28" xfId="0" quotePrefix="1" applyFont="1" applyBorder="1" applyAlignment="1">
      <alignment horizontal="left"/>
    </xf>
    <xf numFmtId="0" fontId="35" fillId="0" borderId="44" xfId="0" applyFont="1" applyBorder="1" applyAlignment="1">
      <alignment horizontal="left" wrapText="1"/>
    </xf>
    <xf numFmtId="0" fontId="35" fillId="0" borderId="34" xfId="0" applyFont="1" applyBorder="1" applyAlignment="1">
      <alignment horizontal="left" wrapText="1"/>
    </xf>
    <xf numFmtId="0" fontId="35" fillId="0" borderId="29" xfId="0" applyFont="1" applyBorder="1" applyAlignment="1">
      <alignment horizontal="left" wrapText="1"/>
    </xf>
    <xf numFmtId="0" fontId="35" fillId="0" borderId="45" xfId="0" applyFont="1" applyBorder="1" applyAlignment="1">
      <alignment horizontal="left" wrapText="1"/>
    </xf>
    <xf numFmtId="0" fontId="35" fillId="0" borderId="1" xfId="0" applyFont="1" applyBorder="1" applyAlignment="1">
      <alignment horizontal="left" wrapText="1"/>
    </xf>
    <xf numFmtId="0" fontId="35" fillId="0" borderId="28" xfId="0" applyFont="1" applyBorder="1" applyAlignment="1">
      <alignment horizontal="left" wrapText="1"/>
    </xf>
    <xf numFmtId="0" fontId="4" fillId="0" borderId="19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0" fillId="0" borderId="35" xfId="0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37" xfId="0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22" fillId="0" borderId="9" xfId="0" applyFont="1" applyBorder="1" applyAlignment="1">
      <alignment horizontal="center"/>
    </xf>
    <xf numFmtId="0" fontId="22" fillId="0" borderId="10" xfId="0" applyFont="1" applyBorder="1" applyAlignment="1">
      <alignment horizontal="center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4" fillId="0" borderId="18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38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19" fillId="0" borderId="8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2" fillId="0" borderId="15" xfId="0" applyFont="1" applyBorder="1" applyAlignment="1">
      <alignment horizontal="left"/>
    </xf>
    <xf numFmtId="0" fontId="2" fillId="0" borderId="16" xfId="0" applyFont="1" applyBorder="1" applyAlignment="1">
      <alignment horizontal="left"/>
    </xf>
    <xf numFmtId="0" fontId="2" fillId="0" borderId="17" xfId="0" applyFont="1" applyBorder="1" applyAlignment="1">
      <alignment horizontal="left"/>
    </xf>
    <xf numFmtId="0" fontId="21" fillId="0" borderId="15" xfId="0" applyFont="1" applyBorder="1" applyAlignment="1">
      <alignment horizontal="left" wrapText="1"/>
    </xf>
    <xf numFmtId="0" fontId="21" fillId="0" borderId="16" xfId="0" applyFont="1" applyBorder="1" applyAlignment="1">
      <alignment horizontal="left" wrapText="1"/>
    </xf>
    <xf numFmtId="0" fontId="21" fillId="0" borderId="17" xfId="0" applyFont="1" applyBorder="1" applyAlignment="1">
      <alignment horizontal="left" wrapText="1"/>
    </xf>
    <xf numFmtId="0" fontId="21" fillId="0" borderId="15" xfId="0" quotePrefix="1" applyFont="1" applyBorder="1" applyAlignment="1">
      <alignment horizontal="left" wrapText="1"/>
    </xf>
    <xf numFmtId="0" fontId="21" fillId="0" borderId="16" xfId="0" quotePrefix="1" applyFont="1" applyBorder="1" applyAlignment="1">
      <alignment horizontal="left" wrapText="1"/>
    </xf>
    <xf numFmtId="0" fontId="21" fillId="0" borderId="17" xfId="0" quotePrefix="1" applyFont="1" applyBorder="1" applyAlignment="1">
      <alignment horizontal="left" wrapText="1"/>
    </xf>
    <xf numFmtId="44" fontId="4" fillId="0" borderId="0" xfId="1" applyFont="1" applyBorder="1" applyAlignment="1">
      <alignment horizontal="left"/>
    </xf>
    <xf numFmtId="44" fontId="4" fillId="0" borderId="0" xfId="1" applyFont="1" applyBorder="1" applyAlignment="1">
      <alignment horizontal="center"/>
    </xf>
    <xf numFmtId="0" fontId="19" fillId="3" borderId="8" xfId="0" applyFont="1" applyFill="1" applyBorder="1" applyAlignment="1">
      <alignment horizontal="center" vertical="center"/>
    </xf>
    <xf numFmtId="0" fontId="19" fillId="3" borderId="10" xfId="0" applyFont="1" applyFill="1" applyBorder="1" applyAlignment="1">
      <alignment horizontal="center" vertical="center"/>
    </xf>
    <xf numFmtId="0" fontId="0" fillId="0" borderId="18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0" fillId="0" borderId="41" xfId="0" applyBorder="1" applyAlignment="1">
      <alignment horizontal="center" wrapText="1"/>
    </xf>
    <xf numFmtId="0" fontId="0" fillId="0" borderId="58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0" fillId="0" borderId="42" xfId="0" applyBorder="1" applyAlignment="1">
      <alignment horizontal="center" wrapText="1"/>
    </xf>
    <xf numFmtId="44" fontId="4" fillId="0" borderId="15" xfId="1" applyFont="1" applyBorder="1" applyAlignment="1">
      <alignment horizontal="center"/>
    </xf>
    <xf numFmtId="44" fontId="4" fillId="0" borderId="16" xfId="1" applyFont="1" applyBorder="1" applyAlignment="1">
      <alignment horizontal="center"/>
    </xf>
    <xf numFmtId="44" fontId="4" fillId="0" borderId="17" xfId="1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13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66FF33"/>
      <color rgb="FF33CC33"/>
      <color rgb="FFFFFF00"/>
      <color rgb="FF0000FF"/>
      <color rgb="FF66FF66"/>
      <color rgb="FF00FF00"/>
      <color rgb="FF66FF99"/>
      <color rgb="FF66FFCC"/>
      <color rgb="FF993300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9.xml"/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0.xml"/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b="1" baseline="0">
                <a:solidFill>
                  <a:sysClr val="windowText" lastClr="000000"/>
                </a:solidFill>
              </a:rPr>
              <a:t>2014 - 2020 PLE Expenses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4311466639918416"/>
          <c:y val="9.414804091192637E-2"/>
          <c:w val="0.75688533360081578"/>
          <c:h val="0.530178312912679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'2014 To 2020'!$B$47</c:f>
              <c:strCache>
                <c:ptCount val="1"/>
                <c:pt idx="0">
                  <c:v>Monthly Maintenance</c:v>
                </c:pt>
              </c:strCache>
            </c:strRef>
          </c:tx>
          <c:spPr>
            <a:solidFill>
              <a:srgbClr val="993300"/>
            </a:solidFill>
            <a:ln>
              <a:solidFill>
                <a:srgbClr val="993300"/>
              </a:solidFill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'2014 To 2020'!$C$46:$J$46</c:f>
              <c:strCache>
                <c:ptCount val="8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7">
                  <c:v>2020 Bud</c:v>
                </c:pt>
              </c:strCache>
            </c:strRef>
          </c:cat>
          <c:val>
            <c:numRef>
              <c:f>'2014 To 2020'!$C$47:$J$47</c:f>
              <c:numCache>
                <c:formatCode>"$"#,##0</c:formatCode>
                <c:ptCount val="8"/>
                <c:pt idx="0">
                  <c:v>6231.7199999999975</c:v>
                </c:pt>
                <c:pt idx="1">
                  <c:v>6231.739999999998</c:v>
                </c:pt>
                <c:pt idx="2">
                  <c:v>6571.3300000000008</c:v>
                </c:pt>
                <c:pt idx="3">
                  <c:v>6448.4499999999989</c:v>
                </c:pt>
                <c:pt idx="4">
                  <c:v>8002.46</c:v>
                </c:pt>
                <c:pt idx="5">
                  <c:v>8142.25</c:v>
                </c:pt>
                <c:pt idx="7">
                  <c:v>6660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2D-4A48-B0A1-27E88446B232}"/>
            </c:ext>
          </c:extLst>
        </c:ser>
        <c:ser>
          <c:idx val="1"/>
          <c:order val="1"/>
          <c:tx>
            <c:strRef>
              <c:f>'2014 To 2020'!$B$48</c:f>
              <c:strCache>
                <c:ptCount val="1"/>
                <c:pt idx="0">
                  <c:v>Annual Maintenance</c:v>
                </c:pt>
              </c:strCache>
            </c:strRef>
          </c:tx>
          <c:spPr>
            <a:solidFill>
              <a:srgbClr val="FFFF00"/>
            </a:solidFill>
            <a:ln>
              <a:solidFill>
                <a:srgbClr val="FFFF00"/>
              </a:solidFill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'2014 To 2020'!$C$46:$J$46</c:f>
              <c:strCache>
                <c:ptCount val="8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7">
                  <c:v>2020 Bud</c:v>
                </c:pt>
              </c:strCache>
            </c:strRef>
          </c:cat>
          <c:val>
            <c:numRef>
              <c:f>'2014 To 2020'!$C$48:$J$48</c:f>
              <c:numCache>
                <c:formatCode>"$"#,##0</c:formatCode>
                <c:ptCount val="8"/>
                <c:pt idx="0">
                  <c:v>45</c:v>
                </c:pt>
                <c:pt idx="1">
                  <c:v>45</c:v>
                </c:pt>
                <c:pt idx="2">
                  <c:v>45</c:v>
                </c:pt>
                <c:pt idx="3">
                  <c:v>0</c:v>
                </c:pt>
                <c:pt idx="4">
                  <c:v>0</c:v>
                </c:pt>
                <c:pt idx="5">
                  <c:v>432.57000000000005</c:v>
                </c:pt>
                <c:pt idx="7">
                  <c:v>1480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22D-4A48-B0A1-27E88446B232}"/>
            </c:ext>
          </c:extLst>
        </c:ser>
        <c:ser>
          <c:idx val="5"/>
          <c:order val="2"/>
          <c:tx>
            <c:strRef>
              <c:f>'2014 To 2020'!$B$49</c:f>
              <c:strCache>
                <c:ptCount val="1"/>
                <c:pt idx="0">
                  <c:v>Periodic Maint. &amp; Repair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rgbClr val="FFC000"/>
              </a:solidFill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'2014 To 2020'!$C$46:$J$46</c:f>
              <c:strCache>
                <c:ptCount val="8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7">
                  <c:v>2020 Bud</c:v>
                </c:pt>
              </c:strCache>
            </c:strRef>
          </c:cat>
          <c:val>
            <c:numRef>
              <c:f>'2014 To 2020'!$C$49:$J$49</c:f>
              <c:numCache>
                <c:formatCode>"$"#,##0</c:formatCode>
                <c:ptCount val="8"/>
                <c:pt idx="0">
                  <c:v>1946.91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8799.75</c:v>
                </c:pt>
                <c:pt idx="7">
                  <c:v>2580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22D-4A48-B0A1-27E88446B232}"/>
            </c:ext>
          </c:extLst>
        </c:ser>
        <c:ser>
          <c:idx val="4"/>
          <c:order val="3"/>
          <c:tx>
            <c:strRef>
              <c:f>'2014 To 2020'!$B$52</c:f>
              <c:strCache>
                <c:ptCount val="1"/>
                <c:pt idx="0">
                  <c:v>Water &amp; Electricity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rgbClr val="FF0000"/>
              </a:solidFill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'2014 To 2020'!$C$46:$J$46</c:f>
              <c:strCache>
                <c:ptCount val="8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7">
                  <c:v>2020 Bud</c:v>
                </c:pt>
              </c:strCache>
            </c:strRef>
          </c:cat>
          <c:val>
            <c:numRef>
              <c:f>'2014 To 2020'!$C$52:$J$52</c:f>
              <c:numCache>
                <c:formatCode>"$"#,##0</c:formatCode>
                <c:ptCount val="8"/>
                <c:pt idx="0">
                  <c:v>1470.18</c:v>
                </c:pt>
                <c:pt idx="1">
                  <c:v>1331.4699999999998</c:v>
                </c:pt>
                <c:pt idx="2">
                  <c:v>743.97</c:v>
                </c:pt>
                <c:pt idx="3">
                  <c:v>729.24999999999989</c:v>
                </c:pt>
                <c:pt idx="4">
                  <c:v>1279.27</c:v>
                </c:pt>
                <c:pt idx="5">
                  <c:v>740.70999999999992</c:v>
                </c:pt>
                <c:pt idx="7">
                  <c:v>1170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22D-4A48-B0A1-27E88446B232}"/>
            </c:ext>
          </c:extLst>
        </c:ser>
        <c:ser>
          <c:idx val="2"/>
          <c:order val="4"/>
          <c:tx>
            <c:strRef>
              <c:f>'2014 To 2020'!$B$51</c:f>
              <c:strCache>
                <c:ptCount val="1"/>
                <c:pt idx="0">
                  <c:v>Insurance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chemeClr val="bg1">
                  <a:lumMod val="75000"/>
                </a:schemeClr>
              </a:solidFill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'2014 To 2020'!$C$46:$J$46</c:f>
              <c:strCache>
                <c:ptCount val="8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7">
                  <c:v>2020 Bud</c:v>
                </c:pt>
              </c:strCache>
            </c:strRef>
          </c:cat>
          <c:val>
            <c:numRef>
              <c:f>'2014 To 2020'!$C$51:$J$51</c:f>
              <c:numCache>
                <c:formatCode>"$"#,##0</c:formatCode>
                <c:ptCount val="8"/>
                <c:pt idx="0">
                  <c:v>617</c:v>
                </c:pt>
                <c:pt idx="1">
                  <c:v>0</c:v>
                </c:pt>
                <c:pt idx="2">
                  <c:v>690.85999999999979</c:v>
                </c:pt>
                <c:pt idx="3">
                  <c:v>641.0999999999998</c:v>
                </c:pt>
                <c:pt idx="4">
                  <c:v>702</c:v>
                </c:pt>
                <c:pt idx="5">
                  <c:v>790.7</c:v>
                </c:pt>
                <c:pt idx="7">
                  <c:v>1050.0000000000002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22D-4A48-B0A1-27E88446B232}"/>
            </c:ext>
          </c:extLst>
        </c:ser>
        <c:ser>
          <c:idx val="6"/>
          <c:order val="5"/>
          <c:tx>
            <c:strRef>
              <c:f>'2014 To 2020'!$B$53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solidFill>
                <a:schemeClr val="accent5"/>
              </a:solidFill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'2014 To 2020'!$C$46:$J$46</c:f>
              <c:strCache>
                <c:ptCount val="8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7">
                  <c:v>2020 Bud</c:v>
                </c:pt>
              </c:strCache>
            </c:strRef>
          </c:cat>
          <c:val>
            <c:numRef>
              <c:f>'2014 To 2020'!$C$53:$J$53</c:f>
              <c:numCache>
                <c:formatCode>"$"#,##0</c:formatCode>
                <c:ptCount val="8"/>
                <c:pt idx="0">
                  <c:v>146.88999999999999</c:v>
                </c:pt>
                <c:pt idx="1">
                  <c:v>120.53</c:v>
                </c:pt>
                <c:pt idx="2">
                  <c:v>243.51</c:v>
                </c:pt>
                <c:pt idx="3">
                  <c:v>49.2</c:v>
                </c:pt>
                <c:pt idx="4">
                  <c:v>302.3</c:v>
                </c:pt>
                <c:pt idx="5">
                  <c:v>583.17999999999995</c:v>
                </c:pt>
                <c:pt idx="7">
                  <c:v>820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22D-4A48-B0A1-27E88446B232}"/>
            </c:ext>
          </c:extLst>
        </c:ser>
        <c:ser>
          <c:idx val="3"/>
          <c:order val="6"/>
          <c:tx>
            <c:strRef>
              <c:f>'2014 To 2020'!$B$50</c:f>
              <c:strCache>
                <c:ptCount val="1"/>
                <c:pt idx="0">
                  <c:v>Fence Replacement</c:v>
                </c:pt>
              </c:strCache>
            </c:strRef>
          </c:tx>
          <c:spPr>
            <a:solidFill>
              <a:srgbClr val="33CC33"/>
            </a:solidFill>
            <a:ln>
              <a:solidFill>
                <a:srgbClr val="33CC33"/>
              </a:solidFill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'2014 To 2020'!$C$46:$J$46</c:f>
              <c:strCache>
                <c:ptCount val="8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7">
                  <c:v>2020 Bud</c:v>
                </c:pt>
              </c:strCache>
            </c:strRef>
          </c:cat>
          <c:val>
            <c:numRef>
              <c:f>'2014 To 2020'!$C$50:$J$50</c:f>
              <c:numCache>
                <c:formatCode>"$"#,##0</c:formatCode>
                <c:ptCount val="8"/>
                <c:pt idx="0">
                  <c:v>0</c:v>
                </c:pt>
                <c:pt idx="1">
                  <c:v>6110.61</c:v>
                </c:pt>
                <c:pt idx="2">
                  <c:v>10754.31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22D-4A48-B0A1-27E88446B2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2"/>
        <c:overlap val="100"/>
        <c:axId val="405296424"/>
        <c:axId val="405292504"/>
      </c:barChart>
      <c:catAx>
        <c:axId val="4052964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5292504"/>
        <c:crosses val="autoZero"/>
        <c:auto val="1"/>
        <c:lblAlgn val="ctr"/>
        <c:lblOffset val="100"/>
        <c:noMultiLvlLbl val="0"/>
      </c:catAx>
      <c:valAx>
        <c:axId val="405292504"/>
        <c:scaling>
          <c:orientation val="minMax"/>
          <c:max val="2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529642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baseline="0"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baseline="0">
                <a:solidFill>
                  <a:sysClr val="windowText" lastClr="000000"/>
                </a:solidFill>
              </a:rPr>
              <a:t>Ending Balance By Month: 2019 - 2022 Projected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5"/>
          <c:order val="5"/>
          <c:tx>
            <c:strRef>
              <c:f>'PLE Financial History'!$C$108:$D$108</c:f>
              <c:strCache>
                <c:ptCount val="2"/>
                <c:pt idx="0">
                  <c:v>2019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strRef>
              <c:f>'PLE Financial History'!$E$102:$P$102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'PLE Financial History'!$E$108:$P$108</c:f>
              <c:numCache>
                <c:formatCode>"$"#,##0</c:formatCode>
                <c:ptCount val="12"/>
                <c:pt idx="0">
                  <c:v>22821.07</c:v>
                </c:pt>
                <c:pt idx="1">
                  <c:v>22758.57</c:v>
                </c:pt>
                <c:pt idx="2">
                  <c:v>31275.57</c:v>
                </c:pt>
                <c:pt idx="3">
                  <c:v>34588.07</c:v>
                </c:pt>
                <c:pt idx="4">
                  <c:v>34525.57</c:v>
                </c:pt>
                <c:pt idx="5">
                  <c:v>31636.32</c:v>
                </c:pt>
                <c:pt idx="6">
                  <c:v>31573.82</c:v>
                </c:pt>
                <c:pt idx="7">
                  <c:v>31511.32</c:v>
                </c:pt>
                <c:pt idx="8">
                  <c:v>29839.989999999998</c:v>
                </c:pt>
                <c:pt idx="9">
                  <c:v>22837.829999999998</c:v>
                </c:pt>
                <c:pt idx="10">
                  <c:v>19630.059999999998</c:v>
                </c:pt>
                <c:pt idx="11">
                  <c:v>17009.909999999996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DF-4F80-9326-50551D1A9F41}"/>
            </c:ext>
          </c:extLst>
        </c:ser>
        <c:ser>
          <c:idx val="6"/>
          <c:order val="6"/>
          <c:tx>
            <c:v>2020</c:v>
          </c:tx>
          <c:spPr>
            <a:ln w="28575" cap="rnd">
              <a:solidFill>
                <a:srgbClr val="0000FF"/>
              </a:solidFill>
              <a:round/>
            </a:ln>
            <a:effectLst/>
          </c:spPr>
          <c:marker>
            <c:symbol val="none"/>
          </c:marker>
          <c:val>
            <c:numRef>
              <c:f>'PLE Financial History'!$E$109:$P$109</c:f>
              <c:numCache>
                <c:formatCode>"$"#,##0</c:formatCode>
                <c:ptCount val="12"/>
                <c:pt idx="0">
                  <c:v>16354.059999999996</c:v>
                </c:pt>
                <c:pt idx="1">
                  <c:v>19623.879999999997</c:v>
                </c:pt>
                <c:pt idx="2">
                  <c:v>27238.799999999996</c:v>
                </c:pt>
                <c:pt idx="3">
                  <c:v>26485.779999999995</c:v>
                </c:pt>
                <c:pt idx="4">
                  <c:v>24990.849999999995</c:v>
                </c:pt>
                <c:pt idx="5">
                  <c:v>23037.489999999994</c:v>
                </c:pt>
                <c:pt idx="6">
                  <c:v>23050.709999999995</c:v>
                </c:pt>
                <c:pt idx="7">
                  <c:v>22069.449999999997</c:v>
                </c:pt>
                <c:pt idx="8">
                  <c:v>20729.369999999995</c:v>
                </c:pt>
                <c:pt idx="9">
                  <c:v>19761.379999999994</c:v>
                </c:pt>
                <c:pt idx="10">
                  <c:v>18742.459999999992</c:v>
                </c:pt>
                <c:pt idx="11">
                  <c:v>17748.039999999994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EDF-4F80-9326-50551D1A9F41}"/>
            </c:ext>
          </c:extLst>
        </c:ser>
        <c:ser>
          <c:idx val="7"/>
          <c:order val="7"/>
          <c:tx>
            <c:strRef>
              <c:f>'PLE Financial History'!$C$110</c:f>
              <c:strCache>
                <c:ptCount val="1"/>
                <c:pt idx="0">
                  <c:v>2021</c:v>
                </c:pt>
              </c:strCache>
            </c:strRef>
          </c:tx>
          <c:spPr>
            <a:ln w="28575" cap="rnd">
              <a:solidFill>
                <a:srgbClr val="33CC33"/>
              </a:solidFill>
              <a:round/>
            </a:ln>
            <a:effectLst/>
          </c:spPr>
          <c:marker>
            <c:symbol val="none"/>
          </c:marker>
          <c:val>
            <c:numRef>
              <c:f>'PLE Financial History'!$E$110:$P$110</c:f>
              <c:numCache>
                <c:formatCode>"$"#,##0</c:formatCode>
                <c:ptCount val="12"/>
                <c:pt idx="0">
                  <c:v>17107.959999999995</c:v>
                </c:pt>
                <c:pt idx="1">
                  <c:v>16467.879999999994</c:v>
                </c:pt>
                <c:pt idx="2">
                  <c:v>16377.799999999994</c:v>
                </c:pt>
                <c:pt idx="3">
                  <c:v>28087.719999999994</c:v>
                </c:pt>
                <c:pt idx="4">
                  <c:v>27185.639999999992</c:v>
                </c:pt>
                <c:pt idx="5">
                  <c:v>26773.299999999992</c:v>
                </c:pt>
                <c:pt idx="6">
                  <c:v>25539.679999999993</c:v>
                </c:pt>
                <c:pt idx="7">
                  <c:v>25034.339999999993</c:v>
                </c:pt>
                <c:pt idx="8">
                  <c:v>24944.259999999991</c:v>
                </c:pt>
                <c:pt idx="9">
                  <c:v>23754.179999999993</c:v>
                </c:pt>
                <c:pt idx="10">
                  <c:v>23114.099999999991</c:v>
                </c:pt>
                <c:pt idx="11">
                  <c:v>22706.149999999991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7B-4A22-A1B5-73DADA3A0033}"/>
            </c:ext>
          </c:extLst>
        </c:ser>
        <c:ser>
          <c:idx val="8"/>
          <c:order val="8"/>
          <c:tx>
            <c:v>2022</c:v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'PLE Financial History'!$CU$123:$DF$123</c:f>
              <c:numCache>
                <c:formatCode>"$"#,##0</c:formatCode>
                <c:ptCount val="12"/>
                <c:pt idx="0">
                  <c:v>21516.07</c:v>
                </c:pt>
                <c:pt idx="1">
                  <c:v>20677.989999999998</c:v>
                </c:pt>
                <c:pt idx="2">
                  <c:v>19609.899999999998</c:v>
                </c:pt>
                <c:pt idx="3">
                  <c:v>28979.819999999996</c:v>
                </c:pt>
                <c:pt idx="4">
                  <c:v>30369.739999999998</c:v>
                </c:pt>
                <c:pt idx="5">
                  <c:v>29038.46</c:v>
                </c:pt>
                <c:pt idx="6">
                  <c:v>27848.379999999997</c:v>
                </c:pt>
                <c:pt idx="7">
                  <c:v>28478.299999999996</c:v>
                </c:pt>
                <c:pt idx="8">
                  <c:v>27982.919999999995</c:v>
                </c:pt>
                <c:pt idx="9">
                  <c:v>26842.839999999997</c:v>
                </c:pt>
                <c:pt idx="10">
                  <c:v>26082.759999999995</c:v>
                </c:pt>
                <c:pt idx="11">
                  <c:v>24307.169999999995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0C-477A-B258-CF70DDBF6F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0537264"/>
        <c:axId val="410538048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'PLE Financial History'!$C$103:$D$103</c15:sqref>
                        </c15:formulaRef>
                      </c:ext>
                    </c:extLst>
                    <c:strCache>
                      <c:ptCount val="2"/>
                      <c:pt idx="0">
                        <c:v>2014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'PLE Financial History'!$E$102:$P$102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Apr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Aug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'PLE Financial History'!$E$103:$P$103</c15:sqref>
                        </c15:formulaRef>
                      </c:ext>
                    </c:extLst>
                    <c:numCache>
                      <c:formatCode>"$"#,##0</c:formatCode>
                      <c:ptCount val="12"/>
                      <c:pt idx="0">
                        <c:v>26217.55</c:v>
                      </c:pt>
                      <c:pt idx="1">
                        <c:v>25610.5</c:v>
                      </c:pt>
                      <c:pt idx="2">
                        <c:v>22992.850000000002</c:v>
                      </c:pt>
                      <c:pt idx="3">
                        <c:v>32106.78</c:v>
                      </c:pt>
                      <c:pt idx="4">
                        <c:v>33597.889999999992</c:v>
                      </c:pt>
                      <c:pt idx="5">
                        <c:v>33720.639999999992</c:v>
                      </c:pt>
                      <c:pt idx="6">
                        <c:v>32682.28999999999</c:v>
                      </c:pt>
                      <c:pt idx="7">
                        <c:v>32574.35999999999</c:v>
                      </c:pt>
                      <c:pt idx="8">
                        <c:v>32000.149999999987</c:v>
                      </c:pt>
                      <c:pt idx="9">
                        <c:v>29908.169999999987</c:v>
                      </c:pt>
                      <c:pt idx="10">
                        <c:v>28920.459999999985</c:v>
                      </c:pt>
                      <c:pt idx="11">
                        <c:v>28293.219999999987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3-1EDF-4F80-9326-50551D1A9F41}"/>
                  </c:ext>
                </c:extLst>
              </c15:ser>
            </c15:filteredLineSeries>
            <c15:filteredLin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'PLE Financial History'!$C$104:$D$104</c15:sqref>
                        </c15:formulaRef>
                      </c:ext>
                    </c:extLst>
                    <c:strCache>
                      <c:ptCount val="2"/>
                      <c:pt idx="0">
                        <c:v>2015</c:v>
                      </c:pt>
                    </c:strCache>
                  </c:strRef>
                </c:tx>
                <c:spPr>
                  <a:ln w="28575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'PLE Financial History'!$E$102:$P$102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Apr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Aug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'PLE Financial History'!$E$104:$P$104</c15:sqref>
                        </c15:formulaRef>
                      </c:ext>
                    </c:extLst>
                    <c:numCache>
                      <c:formatCode>"$"#,##0</c:formatCode>
                      <c:ptCount val="12"/>
                      <c:pt idx="0">
                        <c:v>28293.49</c:v>
                      </c:pt>
                      <c:pt idx="1">
                        <c:v>28165.210000000003</c:v>
                      </c:pt>
                      <c:pt idx="2">
                        <c:v>26607.550000000003</c:v>
                      </c:pt>
                      <c:pt idx="3">
                        <c:v>37348.320000000007</c:v>
                      </c:pt>
                      <c:pt idx="4">
                        <c:v>36299.810000000005</c:v>
                      </c:pt>
                      <c:pt idx="5">
                        <c:v>35592.200000000004</c:v>
                      </c:pt>
                      <c:pt idx="6">
                        <c:v>35063</c:v>
                      </c:pt>
                      <c:pt idx="7">
                        <c:v>33137</c:v>
                      </c:pt>
                      <c:pt idx="8">
                        <c:v>32595.63</c:v>
                      </c:pt>
                      <c:pt idx="9">
                        <c:v>26470.730000000003</c:v>
                      </c:pt>
                      <c:pt idx="10">
                        <c:v>25951.68</c:v>
                      </c:pt>
                      <c:pt idx="11">
                        <c:v>25332.04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1EDF-4F80-9326-50551D1A9F41}"/>
                  </c:ext>
                </c:extLst>
              </c15:ser>
            </c15:filteredLineSeries>
            <c15:filteredLin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'PLE Financial History'!$C$105:$D$105</c15:sqref>
                        </c15:formulaRef>
                      </c:ext>
                    </c:extLst>
                    <c:strCache>
                      <c:ptCount val="2"/>
                      <c:pt idx="0">
                        <c:v>2016</c:v>
                      </c:pt>
                    </c:strCache>
                  </c:strRef>
                </c:tx>
                <c:spPr>
                  <a:ln w="28575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'PLE Financial History'!$E$102:$P$102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Apr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Aug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'PLE Financial History'!$E$105:$P$105</c15:sqref>
                        </c15:formulaRef>
                      </c:ext>
                    </c:extLst>
                    <c:numCache>
                      <c:formatCode>"$"#,##0</c:formatCode>
                      <c:ptCount val="12"/>
                      <c:pt idx="0">
                        <c:v>13857.230000000003</c:v>
                      </c:pt>
                      <c:pt idx="1">
                        <c:v>13190.530000000002</c:v>
                      </c:pt>
                      <c:pt idx="2">
                        <c:v>17397.750000000004</c:v>
                      </c:pt>
                      <c:pt idx="3">
                        <c:v>23078.600000000002</c:v>
                      </c:pt>
                      <c:pt idx="4">
                        <c:v>23661.850000000002</c:v>
                      </c:pt>
                      <c:pt idx="5">
                        <c:v>23593.770000000004</c:v>
                      </c:pt>
                      <c:pt idx="6">
                        <c:v>22945.120000000003</c:v>
                      </c:pt>
                      <c:pt idx="7">
                        <c:v>22203.530000000002</c:v>
                      </c:pt>
                      <c:pt idx="8">
                        <c:v>21554.880000000001</c:v>
                      </c:pt>
                      <c:pt idx="9">
                        <c:v>20838.02</c:v>
                      </c:pt>
                      <c:pt idx="10">
                        <c:v>20524.690000000002</c:v>
                      </c:pt>
                      <c:pt idx="11">
                        <c:v>19783.100000000002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1EDF-4F80-9326-50551D1A9F41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'PLE Financial History'!$C$106:$D$106</c15:sqref>
                        </c15:formulaRef>
                      </c:ext>
                    </c:extLst>
                    <c:strCache>
                      <c:ptCount val="2"/>
                      <c:pt idx="0">
                        <c:v>2017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'PLE Financial History'!$E$102:$P$102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Apr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Aug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'PLE Financial History'!$E$106:$P$106</c15:sqref>
                        </c15:formulaRef>
                      </c:ext>
                    </c:extLst>
                    <c:numCache>
                      <c:formatCode>"$"#,##0</c:formatCode>
                      <c:ptCount val="12"/>
                      <c:pt idx="0">
                        <c:v>19154.769999999997</c:v>
                      </c:pt>
                      <c:pt idx="1">
                        <c:v>18783.179999999997</c:v>
                      </c:pt>
                      <c:pt idx="2">
                        <c:v>22614.929999999997</c:v>
                      </c:pt>
                      <c:pt idx="3">
                        <c:v>27101.879999999997</c:v>
                      </c:pt>
                      <c:pt idx="4">
                        <c:v>27220.92</c:v>
                      </c:pt>
                      <c:pt idx="5">
                        <c:v>26831.109999999997</c:v>
                      </c:pt>
                      <c:pt idx="6">
                        <c:v>26181.67</c:v>
                      </c:pt>
                      <c:pt idx="7">
                        <c:v>25367.949999999997</c:v>
                      </c:pt>
                      <c:pt idx="8">
                        <c:v>24728.67</c:v>
                      </c:pt>
                      <c:pt idx="9">
                        <c:v>24676.26</c:v>
                      </c:pt>
                      <c:pt idx="10">
                        <c:v>23444.019999999997</c:v>
                      </c:pt>
                      <c:pt idx="11">
                        <c:v>23160.1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1EDF-4F80-9326-50551D1A9F41}"/>
                  </c:ext>
                </c:extLst>
              </c15:ser>
            </c15:filteredLineSeries>
            <c15:filteredLin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'PLE Financial History'!$C$107:$D$107</c15:sqref>
                        </c15:formulaRef>
                      </c:ext>
                    </c:extLst>
                    <c:strCache>
                      <c:ptCount val="2"/>
                      <c:pt idx="0">
                        <c:v>2018</c:v>
                      </c:pt>
                    </c:strCache>
                  </c:strRef>
                </c:tx>
                <c:spPr>
                  <a:ln w="28575" cap="rnd">
                    <a:solidFill>
                      <a:srgbClr val="FFFF00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'PLE Financial History'!$E$102:$P$102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Apr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Aug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'PLE Financial History'!$E$107:$P$107</c15:sqref>
                        </c15:formulaRef>
                      </c:ext>
                    </c:extLst>
                    <c:numCache>
                      <c:formatCode>"$"#,##0</c:formatCode>
                      <c:ptCount val="12"/>
                      <c:pt idx="0">
                        <c:v>23101.599999999999</c:v>
                      </c:pt>
                      <c:pt idx="1">
                        <c:v>21853.059999999998</c:v>
                      </c:pt>
                      <c:pt idx="2">
                        <c:v>20425.819999999996</c:v>
                      </c:pt>
                      <c:pt idx="3">
                        <c:v>26154.379999999997</c:v>
                      </c:pt>
                      <c:pt idx="4">
                        <c:v>25841.51</c:v>
                      </c:pt>
                      <c:pt idx="5">
                        <c:v>25153.64</c:v>
                      </c:pt>
                      <c:pt idx="6">
                        <c:v>25091.14</c:v>
                      </c:pt>
                      <c:pt idx="7">
                        <c:v>24946.720000000001</c:v>
                      </c:pt>
                      <c:pt idx="8">
                        <c:v>23018.720000000001</c:v>
                      </c:pt>
                      <c:pt idx="9">
                        <c:v>21341.22</c:v>
                      </c:pt>
                      <c:pt idx="10">
                        <c:v>21607.32</c:v>
                      </c:pt>
                      <c:pt idx="11">
                        <c:v>23374.07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0-1EDF-4F80-9326-50551D1A9F41}"/>
                  </c:ext>
                </c:extLst>
              </c15:ser>
            </c15:filteredLineSeries>
          </c:ext>
        </c:extLst>
      </c:lineChart>
      <c:catAx>
        <c:axId val="410537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0538048"/>
        <c:crosses val="autoZero"/>
        <c:auto val="1"/>
        <c:lblAlgn val="ctr"/>
        <c:lblOffset val="100"/>
        <c:noMultiLvlLbl val="0"/>
      </c:catAx>
      <c:valAx>
        <c:axId val="410538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05372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ysClr val="windowText" lastClr="000000"/>
                </a:solidFill>
              </a:rPr>
              <a:t>PLE Monthly</a:t>
            </a:r>
            <a:r>
              <a:rPr lang="en-US" baseline="0">
                <a:solidFill>
                  <a:sysClr val="windowText" lastClr="000000"/>
                </a:solidFill>
              </a:rPr>
              <a:t> and Annual </a:t>
            </a:r>
            <a:r>
              <a:rPr lang="en-US">
                <a:solidFill>
                  <a:sysClr val="windowText" lastClr="000000"/>
                </a:solidFill>
              </a:rPr>
              <a:t>Landscape Maintenance </a:t>
            </a:r>
          </a:p>
          <a:p>
            <a:pPr>
              <a:defRPr>
                <a:solidFill>
                  <a:sysClr val="windowText" lastClr="000000"/>
                </a:solidFill>
              </a:defRPr>
            </a:pPr>
            <a:r>
              <a:rPr lang="en-US">
                <a:solidFill>
                  <a:sysClr val="windowText" lastClr="000000"/>
                </a:solidFill>
              </a:rPr>
              <a:t>(Excludes Periodic Maintenance and Renovations)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34838145231846"/>
          <c:y val="0.17171296296296296"/>
          <c:w val="0.79343219597550307"/>
          <c:h val="0.66535505978419363"/>
        </c:manualLayout>
      </c:layout>
      <c:areaChart>
        <c:grouping val="standard"/>
        <c:varyColors val="0"/>
        <c:ser>
          <c:idx val="2"/>
          <c:order val="3"/>
          <c:tx>
            <c:v>Monthly Landscape Maintenance</c:v>
          </c:tx>
          <c:spPr>
            <a:solidFill>
              <a:srgbClr val="993300"/>
            </a:solidFill>
            <a:ln>
              <a:solidFill>
                <a:sysClr val="windowText" lastClr="000000"/>
              </a:solidFill>
            </a:ln>
            <a:effectLst/>
          </c:spP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248-4F49-A080-2FDA0F5F63A1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248-4F49-A080-2FDA0F5F63A1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248-4F49-A080-2FDA0F5F63A1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248-4F49-A080-2FDA0F5F63A1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248-4F49-A080-2FDA0F5F63A1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248-4F49-A080-2FDA0F5F63A1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248-4F49-A080-2FDA0F5F63A1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248-4F49-A080-2FDA0F5F63A1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248-4F49-A080-2FDA0F5F63A1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248-4F49-A080-2FDA0F5F63A1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248-4F49-A080-2FDA0F5F63A1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248-4F49-A080-2FDA0F5F63A1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5248-4F49-A080-2FDA0F5F63A1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5248-4F49-A080-2FDA0F5F63A1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5248-4F49-A080-2FDA0F5F63A1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5248-4F49-A080-2FDA0F5F63A1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5248-4F49-A080-2FDA0F5F63A1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5248-4F49-A080-2FDA0F5F63A1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5248-4F49-A080-2FDA0F5F63A1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5248-4F49-A080-2FDA0F5F63A1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5248-4F49-A080-2FDA0F5F63A1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5248-4F49-A080-2FDA0F5F63A1}"/>
                </c:ext>
              </c:extLst>
            </c:dLbl>
            <c:dLbl>
              <c:idx val="22"/>
              <c:layout>
                <c:manualLayout>
                  <c:x val="-4.9557503706592995E-2"/>
                  <c:y val="-0.2861952861952862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5248-4F49-A080-2FDA0F5F63A1}"/>
                </c:ext>
              </c:extLst>
            </c:dLbl>
            <c:dLbl>
              <c:idx val="23"/>
              <c:layout>
                <c:manualLayout>
                  <c:x val="-6.1356816442313909E-2"/>
                  <c:y val="-0.31144781144781147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7.343950073091278E-2"/>
                      <c:h val="5.045467801373312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7-5248-4F49-A080-2FDA0F5F63A1}"/>
                </c:ext>
              </c:extLst>
            </c:dLbl>
            <c:dLbl>
              <c:idx val="24"/>
              <c:layout>
                <c:manualLayout>
                  <c:x val="-6.8436552737675793E-2"/>
                  <c:y val="-0.3434343434343434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5248-4F49-A080-2FDA0F5F63A1}"/>
                </c:ext>
              </c:extLst>
            </c:dLbl>
            <c:dLbl>
              <c:idx val="25"/>
              <c:layout>
                <c:manualLayout>
                  <c:x val="1.0469687923171839E-2"/>
                  <c:y val="-0.3823529411764705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5248-4F49-A080-2FDA0F5F63A1}"/>
                </c:ext>
              </c:extLst>
            </c:dLbl>
            <c:dLbl>
              <c:idx val="26"/>
              <c:layout>
                <c:manualLayout>
                  <c:x val="2.2454241526662113E-2"/>
                  <c:y val="-0.3431372549019607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12B-44E7-A745-E2EBAC22850C}"/>
                </c:ext>
              </c:extLst>
            </c:dLbl>
            <c:dLbl>
              <c:idx val="27"/>
              <c:layout>
                <c:manualLayout>
                  <c:x val="4.7153907205990435E-2"/>
                  <c:y val="-0.2415966386554621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A35-460A-ACCC-DD98FA53D91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'PLE Financial History'!$A$4:$A$31</c:f>
              <c:strCache>
                <c:ptCount val="28"/>
                <c:pt idx="0">
                  <c:v>92-'95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</c:strCache>
            </c:strRef>
          </c:cat>
          <c:val>
            <c:numRef>
              <c:f>'PLE Financial History'!$M$4:$M$31</c:f>
              <c:numCache>
                <c:formatCode>"$"#,##0</c:formatCode>
                <c:ptCount val="28"/>
                <c:pt idx="0">
                  <c:v>384</c:v>
                </c:pt>
                <c:pt idx="1">
                  <c:v>5051</c:v>
                </c:pt>
                <c:pt idx="2">
                  <c:v>4642</c:v>
                </c:pt>
                <c:pt idx="3">
                  <c:v>4636</c:v>
                </c:pt>
                <c:pt idx="4">
                  <c:v>3591</c:v>
                </c:pt>
                <c:pt idx="5">
                  <c:v>2984</c:v>
                </c:pt>
                <c:pt idx="6">
                  <c:v>4139</c:v>
                </c:pt>
                <c:pt idx="7">
                  <c:v>3958</c:v>
                </c:pt>
                <c:pt idx="8">
                  <c:v>4025</c:v>
                </c:pt>
                <c:pt idx="9">
                  <c:v>4280</c:v>
                </c:pt>
                <c:pt idx="10">
                  <c:v>4362</c:v>
                </c:pt>
                <c:pt idx="11">
                  <c:v>3447</c:v>
                </c:pt>
                <c:pt idx="12">
                  <c:v>5073</c:v>
                </c:pt>
                <c:pt idx="13">
                  <c:v>4736</c:v>
                </c:pt>
                <c:pt idx="14">
                  <c:v>5231</c:v>
                </c:pt>
                <c:pt idx="15">
                  <c:v>5935</c:v>
                </c:pt>
                <c:pt idx="16">
                  <c:v>6217</c:v>
                </c:pt>
                <c:pt idx="17">
                  <c:v>6232</c:v>
                </c:pt>
                <c:pt idx="18">
                  <c:v>6232</c:v>
                </c:pt>
                <c:pt idx="19">
                  <c:v>6276.7199999999975</c:v>
                </c:pt>
                <c:pt idx="20">
                  <c:v>6276.739999999998</c:v>
                </c:pt>
                <c:pt idx="21">
                  <c:v>6616.3300000000008</c:v>
                </c:pt>
                <c:pt idx="22">
                  <c:v>6448.4499999999989</c:v>
                </c:pt>
                <c:pt idx="23">
                  <c:v>8002.46</c:v>
                </c:pt>
                <c:pt idx="24">
                  <c:v>8574.82</c:v>
                </c:pt>
                <c:pt idx="25">
                  <c:v>7326.25</c:v>
                </c:pt>
                <c:pt idx="26">
                  <c:v>6050</c:v>
                </c:pt>
                <c:pt idx="27">
                  <c:v>7435.89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5248-4F49-A080-2FDA0F5F63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10538832"/>
        <c:axId val="410539224"/>
        <c:extLst>
          <c:ext xmlns:c15="http://schemas.microsoft.com/office/drawing/2012/chart" uri="{02D57815-91ED-43cb-92C2-25804820EDAC}">
            <c15:filteredAreaSeries>
              <c15:ser>
                <c:idx val="1"/>
                <c:order val="0"/>
                <c:tx>
                  <c:v>Assessment and Chaffey Reimb.</c:v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dPt>
                  <c:idx val="6"/>
                  <c:bubble3D val="0"/>
                  <c:extLst>
                    <c:ext xmlns:c16="http://schemas.microsoft.com/office/drawing/2014/chart" uri="{C3380CC4-5D6E-409C-BE32-E72D297353CC}">
                      <c16:uniqueId val="{0000001B-5248-4F49-A080-2FDA0F5F63A1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'PLE Financial History'!$A$4:$A$31</c15:sqref>
                        </c15:formulaRef>
                      </c:ext>
                    </c:extLst>
                    <c:strCache>
                      <c:ptCount val="28"/>
                      <c:pt idx="0">
                        <c:v>92-'95</c:v>
                      </c:pt>
                      <c:pt idx="1">
                        <c:v>1996</c:v>
                      </c:pt>
                      <c:pt idx="2">
                        <c:v>1997</c:v>
                      </c:pt>
                      <c:pt idx="3">
                        <c:v>1998</c:v>
                      </c:pt>
                      <c:pt idx="4">
                        <c:v>1999</c:v>
                      </c:pt>
                      <c:pt idx="5">
                        <c:v>2000</c:v>
                      </c:pt>
                      <c:pt idx="6">
                        <c:v>2001</c:v>
                      </c:pt>
                      <c:pt idx="7">
                        <c:v>2002</c:v>
                      </c:pt>
                      <c:pt idx="8">
                        <c:v>2003</c:v>
                      </c:pt>
                      <c:pt idx="9">
                        <c:v>2004</c:v>
                      </c:pt>
                      <c:pt idx="10">
                        <c:v>2005</c:v>
                      </c:pt>
                      <c:pt idx="11">
                        <c:v>2006</c:v>
                      </c:pt>
                      <c:pt idx="12">
                        <c:v>2007</c:v>
                      </c:pt>
                      <c:pt idx="13">
                        <c:v>2008</c:v>
                      </c:pt>
                      <c:pt idx="14">
                        <c:v>2009</c:v>
                      </c:pt>
                      <c:pt idx="15">
                        <c:v>2010</c:v>
                      </c:pt>
                      <c:pt idx="16">
                        <c:v>2011</c:v>
                      </c:pt>
                      <c:pt idx="17">
                        <c:v>2012</c:v>
                      </c:pt>
                      <c:pt idx="18">
                        <c:v>2013</c:v>
                      </c:pt>
                      <c:pt idx="19">
                        <c:v>2014</c:v>
                      </c:pt>
                      <c:pt idx="20">
                        <c:v>2015</c:v>
                      </c:pt>
                      <c:pt idx="21">
                        <c:v>2016</c:v>
                      </c:pt>
                      <c:pt idx="22">
                        <c:v>2017</c:v>
                      </c:pt>
                      <c:pt idx="23">
                        <c:v>2018</c:v>
                      </c:pt>
                      <c:pt idx="24">
                        <c:v>2019</c:v>
                      </c:pt>
                      <c:pt idx="25">
                        <c:v>2020</c:v>
                      </c:pt>
                      <c:pt idx="26">
                        <c:v>2021</c:v>
                      </c:pt>
                      <c:pt idx="27">
                        <c:v>2022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'PLE Financial History'!$G$4:$G$28</c15:sqref>
                        </c15:formulaRef>
                      </c:ext>
                    </c:extLst>
                    <c:numCache>
                      <c:formatCode>"$"#,##0</c:formatCode>
                      <c:ptCount val="25"/>
                      <c:pt idx="0">
                        <c:v>4828</c:v>
                      </c:pt>
                      <c:pt idx="1">
                        <c:v>10428</c:v>
                      </c:pt>
                      <c:pt idx="2">
                        <c:v>6200</c:v>
                      </c:pt>
                      <c:pt idx="3">
                        <c:v>7659</c:v>
                      </c:pt>
                      <c:pt idx="4">
                        <c:v>8278.27</c:v>
                      </c:pt>
                      <c:pt idx="5">
                        <c:v>17215</c:v>
                      </c:pt>
                      <c:pt idx="6">
                        <c:v>9020.1</c:v>
                      </c:pt>
                      <c:pt idx="7">
                        <c:v>10225.92</c:v>
                      </c:pt>
                      <c:pt idx="8">
                        <c:v>11304.78</c:v>
                      </c:pt>
                      <c:pt idx="9">
                        <c:v>12128.08</c:v>
                      </c:pt>
                      <c:pt idx="10">
                        <c:v>12144.88</c:v>
                      </c:pt>
                      <c:pt idx="11">
                        <c:v>12156.56</c:v>
                      </c:pt>
                      <c:pt idx="12">
                        <c:v>12073.85</c:v>
                      </c:pt>
                      <c:pt idx="13">
                        <c:v>12220.83</c:v>
                      </c:pt>
                      <c:pt idx="14">
                        <c:v>11331.85</c:v>
                      </c:pt>
                      <c:pt idx="15">
                        <c:v>12015.41</c:v>
                      </c:pt>
                      <c:pt idx="16">
                        <c:v>12009.61</c:v>
                      </c:pt>
                      <c:pt idx="17">
                        <c:v>12005.76</c:v>
                      </c:pt>
                      <c:pt idx="18">
                        <c:v>11628</c:v>
                      </c:pt>
                      <c:pt idx="19">
                        <c:v>12004.17</c:v>
                      </c:pt>
                      <c:pt idx="20">
                        <c:v>10878.17</c:v>
                      </c:pt>
                      <c:pt idx="21">
                        <c:v>13500.04</c:v>
                      </c:pt>
                      <c:pt idx="22">
                        <c:v>11245</c:v>
                      </c:pt>
                      <c:pt idx="23">
                        <c:v>10500</c:v>
                      </c:pt>
                      <c:pt idx="24">
                        <c:v>13125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C-5248-4F49-A080-2FDA0F5F63A1}"/>
                  </c:ext>
                </c:extLst>
              </c15:ser>
            </c15:filteredAreaSeries>
            <c15:filteredAreaSeries>
              <c15:ser>
                <c:idx val="0"/>
                <c:order val="1"/>
                <c:tx>
                  <c:v>Dues &amp; Interest</c:v>
                </c:tx>
                <c:spPr>
                  <a:solidFill>
                    <a:schemeClr val="accent1"/>
                  </a:solidFill>
                  <a:ln>
                    <a:solidFill>
                      <a:schemeClr val="accent1">
                        <a:lumMod val="75000"/>
                      </a:schemeClr>
                    </a:solidFill>
                  </a:ln>
                  <a:effectLst/>
                </c:spP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'PLE Financial History'!$A$4:$A$31</c15:sqref>
                        </c15:formulaRef>
                      </c:ext>
                    </c:extLst>
                    <c:strCache>
                      <c:ptCount val="28"/>
                      <c:pt idx="0">
                        <c:v>92-'95</c:v>
                      </c:pt>
                      <c:pt idx="1">
                        <c:v>1996</c:v>
                      </c:pt>
                      <c:pt idx="2">
                        <c:v>1997</c:v>
                      </c:pt>
                      <c:pt idx="3">
                        <c:v>1998</c:v>
                      </c:pt>
                      <c:pt idx="4">
                        <c:v>1999</c:v>
                      </c:pt>
                      <c:pt idx="5">
                        <c:v>2000</c:v>
                      </c:pt>
                      <c:pt idx="6">
                        <c:v>2001</c:v>
                      </c:pt>
                      <c:pt idx="7">
                        <c:v>2002</c:v>
                      </c:pt>
                      <c:pt idx="8">
                        <c:v>2003</c:v>
                      </c:pt>
                      <c:pt idx="9">
                        <c:v>2004</c:v>
                      </c:pt>
                      <c:pt idx="10">
                        <c:v>2005</c:v>
                      </c:pt>
                      <c:pt idx="11">
                        <c:v>2006</c:v>
                      </c:pt>
                      <c:pt idx="12">
                        <c:v>2007</c:v>
                      </c:pt>
                      <c:pt idx="13">
                        <c:v>2008</c:v>
                      </c:pt>
                      <c:pt idx="14">
                        <c:v>2009</c:v>
                      </c:pt>
                      <c:pt idx="15">
                        <c:v>2010</c:v>
                      </c:pt>
                      <c:pt idx="16">
                        <c:v>2011</c:v>
                      </c:pt>
                      <c:pt idx="17">
                        <c:v>2012</c:v>
                      </c:pt>
                      <c:pt idx="18">
                        <c:v>2013</c:v>
                      </c:pt>
                      <c:pt idx="19">
                        <c:v>2014</c:v>
                      </c:pt>
                      <c:pt idx="20">
                        <c:v>2015</c:v>
                      </c:pt>
                      <c:pt idx="21">
                        <c:v>2016</c:v>
                      </c:pt>
                      <c:pt idx="22">
                        <c:v>2017</c:v>
                      </c:pt>
                      <c:pt idx="23">
                        <c:v>2018</c:v>
                      </c:pt>
                      <c:pt idx="24">
                        <c:v>2019</c:v>
                      </c:pt>
                      <c:pt idx="25">
                        <c:v>2020</c:v>
                      </c:pt>
                      <c:pt idx="26">
                        <c:v>2021</c:v>
                      </c:pt>
                      <c:pt idx="27">
                        <c:v>2022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'PLE Financial History'!$E$4:$E$28</c15:sqref>
                        </c15:formulaRef>
                      </c:ext>
                    </c:extLst>
                    <c:numCache>
                      <c:formatCode>"$"#,##0</c:formatCode>
                      <c:ptCount val="25"/>
                      <c:pt idx="0">
                        <c:v>4828</c:v>
                      </c:pt>
                      <c:pt idx="1">
                        <c:v>10428</c:v>
                      </c:pt>
                      <c:pt idx="2">
                        <c:v>6200</c:v>
                      </c:pt>
                      <c:pt idx="3">
                        <c:v>7659</c:v>
                      </c:pt>
                      <c:pt idx="4">
                        <c:v>8278.27</c:v>
                      </c:pt>
                      <c:pt idx="5">
                        <c:v>9861</c:v>
                      </c:pt>
                      <c:pt idx="6">
                        <c:v>9020.1</c:v>
                      </c:pt>
                      <c:pt idx="7">
                        <c:v>10225.92</c:v>
                      </c:pt>
                      <c:pt idx="8">
                        <c:v>11304.78</c:v>
                      </c:pt>
                      <c:pt idx="9">
                        <c:v>12128.08</c:v>
                      </c:pt>
                      <c:pt idx="10">
                        <c:v>12144.88</c:v>
                      </c:pt>
                      <c:pt idx="11">
                        <c:v>12156.56</c:v>
                      </c:pt>
                      <c:pt idx="12">
                        <c:v>12073.85</c:v>
                      </c:pt>
                      <c:pt idx="13">
                        <c:v>12220.83</c:v>
                      </c:pt>
                      <c:pt idx="14">
                        <c:v>11331.85</c:v>
                      </c:pt>
                      <c:pt idx="15">
                        <c:v>12015.41</c:v>
                      </c:pt>
                      <c:pt idx="16">
                        <c:v>12009.61</c:v>
                      </c:pt>
                      <c:pt idx="17">
                        <c:v>12005.76</c:v>
                      </c:pt>
                      <c:pt idx="18">
                        <c:v>11628</c:v>
                      </c:pt>
                      <c:pt idx="19">
                        <c:v>12004.17</c:v>
                      </c:pt>
                      <c:pt idx="20">
                        <c:v>10878.17</c:v>
                      </c:pt>
                      <c:pt idx="21">
                        <c:v>13500.04</c:v>
                      </c:pt>
                      <c:pt idx="22">
                        <c:v>11245</c:v>
                      </c:pt>
                      <c:pt idx="23">
                        <c:v>10500</c:v>
                      </c:pt>
                      <c:pt idx="24">
                        <c:v>13125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D-5248-4F49-A080-2FDA0F5F63A1}"/>
                  </c:ext>
                </c:extLst>
              </c15:ser>
            </c15:filteredAreaSeries>
            <c15:filteredAreaSeries>
              <c15:ser>
                <c:idx val="3"/>
                <c:order val="2"/>
                <c:tx>
                  <c:v>Non-Routine</c:v>
                </c:tx>
                <c:spPr>
                  <a:solidFill>
                    <a:schemeClr val="accent4"/>
                  </a:solidFill>
                  <a:ln>
                    <a:solidFill>
                      <a:schemeClr val="accent4">
                        <a:lumMod val="75000"/>
                      </a:schemeClr>
                    </a:solidFill>
                  </a:ln>
                  <a:effectLst/>
                </c:spP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'PLE Financial History'!$A$4:$A$31</c15:sqref>
                        </c15:formulaRef>
                      </c:ext>
                    </c:extLst>
                    <c:strCache>
                      <c:ptCount val="28"/>
                      <c:pt idx="0">
                        <c:v>92-'95</c:v>
                      </c:pt>
                      <c:pt idx="1">
                        <c:v>1996</c:v>
                      </c:pt>
                      <c:pt idx="2">
                        <c:v>1997</c:v>
                      </c:pt>
                      <c:pt idx="3">
                        <c:v>1998</c:v>
                      </c:pt>
                      <c:pt idx="4">
                        <c:v>1999</c:v>
                      </c:pt>
                      <c:pt idx="5">
                        <c:v>2000</c:v>
                      </c:pt>
                      <c:pt idx="6">
                        <c:v>2001</c:v>
                      </c:pt>
                      <c:pt idx="7">
                        <c:v>2002</c:v>
                      </c:pt>
                      <c:pt idx="8">
                        <c:v>2003</c:v>
                      </c:pt>
                      <c:pt idx="9">
                        <c:v>2004</c:v>
                      </c:pt>
                      <c:pt idx="10">
                        <c:v>2005</c:v>
                      </c:pt>
                      <c:pt idx="11">
                        <c:v>2006</c:v>
                      </c:pt>
                      <c:pt idx="12">
                        <c:v>2007</c:v>
                      </c:pt>
                      <c:pt idx="13">
                        <c:v>2008</c:v>
                      </c:pt>
                      <c:pt idx="14">
                        <c:v>2009</c:v>
                      </c:pt>
                      <c:pt idx="15">
                        <c:v>2010</c:v>
                      </c:pt>
                      <c:pt idx="16">
                        <c:v>2011</c:v>
                      </c:pt>
                      <c:pt idx="17">
                        <c:v>2012</c:v>
                      </c:pt>
                      <c:pt idx="18">
                        <c:v>2013</c:v>
                      </c:pt>
                      <c:pt idx="19">
                        <c:v>2014</c:v>
                      </c:pt>
                      <c:pt idx="20">
                        <c:v>2015</c:v>
                      </c:pt>
                      <c:pt idx="21">
                        <c:v>2016</c:v>
                      </c:pt>
                      <c:pt idx="22">
                        <c:v>2017</c:v>
                      </c:pt>
                      <c:pt idx="23">
                        <c:v>2018</c:v>
                      </c:pt>
                      <c:pt idx="24">
                        <c:v>2019</c:v>
                      </c:pt>
                      <c:pt idx="25">
                        <c:v>2020</c:v>
                      </c:pt>
                      <c:pt idx="26">
                        <c:v>2021</c:v>
                      </c:pt>
                      <c:pt idx="27">
                        <c:v>2022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'PLE Financial History'!$J$4:$J$29</c15:sqref>
                        </c15:formulaRef>
                      </c:ext>
                    </c:extLst>
                    <c:numCache>
                      <c:formatCode>"$"#,##0</c:formatCode>
                      <c:ptCount val="26"/>
                      <c:pt idx="0">
                        <c:v>579</c:v>
                      </c:pt>
                      <c:pt idx="1">
                        <c:v>8695.0299999999988</c:v>
                      </c:pt>
                      <c:pt idx="2">
                        <c:v>6833.74</c:v>
                      </c:pt>
                      <c:pt idx="3">
                        <c:v>6573.3700000000008</c:v>
                      </c:pt>
                      <c:pt idx="4">
                        <c:v>9127.32</c:v>
                      </c:pt>
                      <c:pt idx="5">
                        <c:v>13852.89</c:v>
                      </c:pt>
                      <c:pt idx="6">
                        <c:v>7767.6399999999994</c:v>
                      </c:pt>
                      <c:pt idx="7">
                        <c:v>7960.590000000002</c:v>
                      </c:pt>
                      <c:pt idx="8">
                        <c:v>8188.42</c:v>
                      </c:pt>
                      <c:pt idx="9">
                        <c:v>7206.76</c:v>
                      </c:pt>
                      <c:pt idx="10">
                        <c:v>10899.72</c:v>
                      </c:pt>
                      <c:pt idx="11">
                        <c:v>12936.069999999998</c:v>
                      </c:pt>
                      <c:pt idx="12">
                        <c:v>8509.0300000000007</c:v>
                      </c:pt>
                      <c:pt idx="13">
                        <c:v>14218.69</c:v>
                      </c:pt>
                      <c:pt idx="14">
                        <c:v>18023.2</c:v>
                      </c:pt>
                      <c:pt idx="15">
                        <c:v>11425.42</c:v>
                      </c:pt>
                      <c:pt idx="16">
                        <c:v>8960.630000000001</c:v>
                      </c:pt>
                      <c:pt idx="17">
                        <c:v>7950.1999999999989</c:v>
                      </c:pt>
                      <c:pt idx="18">
                        <c:v>8419.43</c:v>
                      </c:pt>
                      <c:pt idx="19">
                        <c:v>10457.699999999999</c:v>
                      </c:pt>
                      <c:pt idx="20">
                        <c:v>13839.35</c:v>
                      </c:pt>
                      <c:pt idx="21">
                        <c:v>19048.98</c:v>
                      </c:pt>
                      <c:pt idx="22">
                        <c:v>7868.0000000000036</c:v>
                      </c:pt>
                      <c:pt idx="23">
                        <c:v>10286.029999999999</c:v>
                      </c:pt>
                      <c:pt idx="24">
                        <c:v>19489.160000000003</c:v>
                      </c:pt>
                      <c:pt idx="25">
                        <c:v>13021.869999999999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E-5248-4F49-A080-2FDA0F5F63A1}"/>
                  </c:ext>
                </c:extLst>
              </c15:ser>
            </c15:filteredAreaSeries>
            <c15:filteredAreaSeries>
              <c15:ser>
                <c:idx val="4"/>
                <c:order val="4"/>
                <c:spPr>
                  <a:solidFill>
                    <a:schemeClr val="accent5"/>
                  </a:solidFill>
                  <a:ln>
                    <a:noFill/>
                  </a:ln>
                  <a:effectLst/>
                </c:spP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'PLE Financial History'!$A$4:$A$31</c15:sqref>
                        </c15:formulaRef>
                      </c:ext>
                    </c:extLst>
                    <c:strCache>
                      <c:ptCount val="28"/>
                      <c:pt idx="0">
                        <c:v>92-'95</c:v>
                      </c:pt>
                      <c:pt idx="1">
                        <c:v>1996</c:v>
                      </c:pt>
                      <c:pt idx="2">
                        <c:v>1997</c:v>
                      </c:pt>
                      <c:pt idx="3">
                        <c:v>1998</c:v>
                      </c:pt>
                      <c:pt idx="4">
                        <c:v>1999</c:v>
                      </c:pt>
                      <c:pt idx="5">
                        <c:v>2000</c:v>
                      </c:pt>
                      <c:pt idx="6">
                        <c:v>2001</c:v>
                      </c:pt>
                      <c:pt idx="7">
                        <c:v>2002</c:v>
                      </c:pt>
                      <c:pt idx="8">
                        <c:v>2003</c:v>
                      </c:pt>
                      <c:pt idx="9">
                        <c:v>2004</c:v>
                      </c:pt>
                      <c:pt idx="10">
                        <c:v>2005</c:v>
                      </c:pt>
                      <c:pt idx="11">
                        <c:v>2006</c:v>
                      </c:pt>
                      <c:pt idx="12">
                        <c:v>2007</c:v>
                      </c:pt>
                      <c:pt idx="13">
                        <c:v>2008</c:v>
                      </c:pt>
                      <c:pt idx="14">
                        <c:v>2009</c:v>
                      </c:pt>
                      <c:pt idx="15">
                        <c:v>2010</c:v>
                      </c:pt>
                      <c:pt idx="16">
                        <c:v>2011</c:v>
                      </c:pt>
                      <c:pt idx="17">
                        <c:v>2012</c:v>
                      </c:pt>
                      <c:pt idx="18">
                        <c:v>2013</c:v>
                      </c:pt>
                      <c:pt idx="19">
                        <c:v>2014</c:v>
                      </c:pt>
                      <c:pt idx="20">
                        <c:v>2015</c:v>
                      </c:pt>
                      <c:pt idx="21">
                        <c:v>2016</c:v>
                      </c:pt>
                      <c:pt idx="22">
                        <c:v>2017</c:v>
                      </c:pt>
                      <c:pt idx="23">
                        <c:v>2018</c:v>
                      </c:pt>
                      <c:pt idx="24">
                        <c:v>2019</c:v>
                      </c:pt>
                      <c:pt idx="25">
                        <c:v>2020</c:v>
                      </c:pt>
                      <c:pt idx="26">
                        <c:v>2021</c:v>
                      </c:pt>
                      <c:pt idx="27">
                        <c:v>2022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'PLE Financial History'!$I$4:$I$28</c15:sqref>
                        </c15:formulaRef>
                      </c:ext>
                    </c:extLst>
                    <c:numCache>
                      <c:formatCode>"$"#,##0</c:formatCode>
                      <c:ptCount val="25"/>
                      <c:pt idx="0">
                        <c:v>0</c:v>
                      </c:pt>
                      <c:pt idx="1">
                        <c:v>963</c:v>
                      </c:pt>
                      <c:pt idx="2">
                        <c:v>891</c:v>
                      </c:pt>
                      <c:pt idx="3">
                        <c:v>320</c:v>
                      </c:pt>
                      <c:pt idx="4">
                        <c:v>4205</c:v>
                      </c:pt>
                      <c:pt idx="5">
                        <c:v>8423</c:v>
                      </c:pt>
                      <c:pt idx="6">
                        <c:v>1785</c:v>
                      </c:pt>
                      <c:pt idx="7">
                        <c:v>2367</c:v>
                      </c:pt>
                      <c:pt idx="8">
                        <c:v>1585</c:v>
                      </c:pt>
                      <c:pt idx="9">
                        <c:v>265</c:v>
                      </c:pt>
                      <c:pt idx="10">
                        <c:v>3950</c:v>
                      </c:pt>
                      <c:pt idx="11">
                        <c:v>6000</c:v>
                      </c:pt>
                      <c:pt idx="12">
                        <c:v>0</c:v>
                      </c:pt>
                      <c:pt idx="13">
                        <c:v>5332</c:v>
                      </c:pt>
                      <c:pt idx="14">
                        <c:v>9886</c:v>
                      </c:pt>
                      <c:pt idx="15">
                        <c:v>2435</c:v>
                      </c:pt>
                      <c:pt idx="16">
                        <c:v>0</c:v>
                      </c:pt>
                      <c:pt idx="17">
                        <c:v>175</c:v>
                      </c:pt>
                      <c:pt idx="18">
                        <c:v>367</c:v>
                      </c:pt>
                      <c:pt idx="19">
                        <c:v>1947</c:v>
                      </c:pt>
                      <c:pt idx="20">
                        <c:v>6110</c:v>
                      </c:pt>
                      <c:pt idx="21">
                        <c:v>10754</c:v>
                      </c:pt>
                      <c:pt idx="22">
                        <c:v>0</c:v>
                      </c:pt>
                      <c:pt idx="23">
                        <c:v>0</c:v>
                      </c:pt>
                      <c:pt idx="24">
                        <c:v>8157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F-5248-4F49-A080-2FDA0F5F63A1}"/>
                  </c:ext>
                </c:extLst>
              </c15:ser>
            </c15:filteredAreaSeries>
            <c15:filteredAreaSeries>
              <c15:ser>
                <c:idx val="5"/>
                <c:order val="5"/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'PLE Financial History'!$A$4:$A$31</c15:sqref>
                        </c15:formulaRef>
                      </c:ext>
                    </c:extLst>
                    <c:strCache>
                      <c:ptCount val="28"/>
                      <c:pt idx="0">
                        <c:v>92-'95</c:v>
                      </c:pt>
                      <c:pt idx="1">
                        <c:v>1996</c:v>
                      </c:pt>
                      <c:pt idx="2">
                        <c:v>1997</c:v>
                      </c:pt>
                      <c:pt idx="3">
                        <c:v>1998</c:v>
                      </c:pt>
                      <c:pt idx="4">
                        <c:v>1999</c:v>
                      </c:pt>
                      <c:pt idx="5">
                        <c:v>2000</c:v>
                      </c:pt>
                      <c:pt idx="6">
                        <c:v>2001</c:v>
                      </c:pt>
                      <c:pt idx="7">
                        <c:v>2002</c:v>
                      </c:pt>
                      <c:pt idx="8">
                        <c:v>2003</c:v>
                      </c:pt>
                      <c:pt idx="9">
                        <c:v>2004</c:v>
                      </c:pt>
                      <c:pt idx="10">
                        <c:v>2005</c:v>
                      </c:pt>
                      <c:pt idx="11">
                        <c:v>2006</c:v>
                      </c:pt>
                      <c:pt idx="12">
                        <c:v>2007</c:v>
                      </c:pt>
                      <c:pt idx="13">
                        <c:v>2008</c:v>
                      </c:pt>
                      <c:pt idx="14">
                        <c:v>2009</c:v>
                      </c:pt>
                      <c:pt idx="15">
                        <c:v>2010</c:v>
                      </c:pt>
                      <c:pt idx="16">
                        <c:v>2011</c:v>
                      </c:pt>
                      <c:pt idx="17">
                        <c:v>2012</c:v>
                      </c:pt>
                      <c:pt idx="18">
                        <c:v>2013</c:v>
                      </c:pt>
                      <c:pt idx="19">
                        <c:v>2014</c:v>
                      </c:pt>
                      <c:pt idx="20">
                        <c:v>2015</c:v>
                      </c:pt>
                      <c:pt idx="21">
                        <c:v>2016</c:v>
                      </c:pt>
                      <c:pt idx="22">
                        <c:v>2017</c:v>
                      </c:pt>
                      <c:pt idx="23">
                        <c:v>2018</c:v>
                      </c:pt>
                      <c:pt idx="24">
                        <c:v>2019</c:v>
                      </c:pt>
                      <c:pt idx="25">
                        <c:v>2020</c:v>
                      </c:pt>
                      <c:pt idx="26">
                        <c:v>2021</c:v>
                      </c:pt>
                      <c:pt idx="27">
                        <c:v>2022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'PLE Financial History'!$J$4:$J$28</c15:sqref>
                        </c15:formulaRef>
                      </c:ext>
                    </c:extLst>
                    <c:numCache>
                      <c:formatCode>"$"#,##0</c:formatCode>
                      <c:ptCount val="25"/>
                      <c:pt idx="0">
                        <c:v>579</c:v>
                      </c:pt>
                      <c:pt idx="1">
                        <c:v>8695.0299999999988</c:v>
                      </c:pt>
                      <c:pt idx="2">
                        <c:v>6833.74</c:v>
                      </c:pt>
                      <c:pt idx="3">
                        <c:v>6573.3700000000008</c:v>
                      </c:pt>
                      <c:pt idx="4">
                        <c:v>9127.32</c:v>
                      </c:pt>
                      <c:pt idx="5">
                        <c:v>13852.89</c:v>
                      </c:pt>
                      <c:pt idx="6">
                        <c:v>7767.6399999999994</c:v>
                      </c:pt>
                      <c:pt idx="7">
                        <c:v>7960.590000000002</c:v>
                      </c:pt>
                      <c:pt idx="8">
                        <c:v>8188.42</c:v>
                      </c:pt>
                      <c:pt idx="9">
                        <c:v>7206.76</c:v>
                      </c:pt>
                      <c:pt idx="10">
                        <c:v>10899.72</c:v>
                      </c:pt>
                      <c:pt idx="11">
                        <c:v>12936.069999999998</c:v>
                      </c:pt>
                      <c:pt idx="12">
                        <c:v>8509.0300000000007</c:v>
                      </c:pt>
                      <c:pt idx="13">
                        <c:v>14218.69</c:v>
                      </c:pt>
                      <c:pt idx="14">
                        <c:v>18023.2</c:v>
                      </c:pt>
                      <c:pt idx="15">
                        <c:v>11425.42</c:v>
                      </c:pt>
                      <c:pt idx="16">
                        <c:v>8960.630000000001</c:v>
                      </c:pt>
                      <c:pt idx="17">
                        <c:v>7950.1999999999989</c:v>
                      </c:pt>
                      <c:pt idx="18">
                        <c:v>8419.43</c:v>
                      </c:pt>
                      <c:pt idx="19">
                        <c:v>10457.699999999999</c:v>
                      </c:pt>
                      <c:pt idx="20">
                        <c:v>13839.35</c:v>
                      </c:pt>
                      <c:pt idx="21">
                        <c:v>19048.98</c:v>
                      </c:pt>
                      <c:pt idx="22">
                        <c:v>7868.0000000000036</c:v>
                      </c:pt>
                      <c:pt idx="23">
                        <c:v>10286.029999999999</c:v>
                      </c:pt>
                      <c:pt idx="24">
                        <c:v>19489.160000000003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0-5248-4F49-A080-2FDA0F5F63A1}"/>
                  </c:ext>
                </c:extLst>
              </c15:ser>
            </c15:filteredAreaSeries>
            <c15:filteredAreaSeries>
              <c15:ser>
                <c:idx val="6"/>
                <c:order val="6"/>
                <c:spPr>
                  <a:solidFill>
                    <a:schemeClr val="accent1">
                      <a:lumMod val="60000"/>
                    </a:schemeClr>
                  </a:solidFill>
                  <a:ln>
                    <a:noFill/>
                  </a:ln>
                  <a:effectLst/>
                </c:spP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'PLE Financial History'!$A$4:$A$31</c15:sqref>
                        </c15:formulaRef>
                      </c:ext>
                    </c:extLst>
                    <c:strCache>
                      <c:ptCount val="28"/>
                      <c:pt idx="0">
                        <c:v>92-'95</c:v>
                      </c:pt>
                      <c:pt idx="1">
                        <c:v>1996</c:v>
                      </c:pt>
                      <c:pt idx="2">
                        <c:v>1997</c:v>
                      </c:pt>
                      <c:pt idx="3">
                        <c:v>1998</c:v>
                      </c:pt>
                      <c:pt idx="4">
                        <c:v>1999</c:v>
                      </c:pt>
                      <c:pt idx="5">
                        <c:v>2000</c:v>
                      </c:pt>
                      <c:pt idx="6">
                        <c:v>2001</c:v>
                      </c:pt>
                      <c:pt idx="7">
                        <c:v>2002</c:v>
                      </c:pt>
                      <c:pt idx="8">
                        <c:v>2003</c:v>
                      </c:pt>
                      <c:pt idx="9">
                        <c:v>2004</c:v>
                      </c:pt>
                      <c:pt idx="10">
                        <c:v>2005</c:v>
                      </c:pt>
                      <c:pt idx="11">
                        <c:v>2006</c:v>
                      </c:pt>
                      <c:pt idx="12">
                        <c:v>2007</c:v>
                      </c:pt>
                      <c:pt idx="13">
                        <c:v>2008</c:v>
                      </c:pt>
                      <c:pt idx="14">
                        <c:v>2009</c:v>
                      </c:pt>
                      <c:pt idx="15">
                        <c:v>2010</c:v>
                      </c:pt>
                      <c:pt idx="16">
                        <c:v>2011</c:v>
                      </c:pt>
                      <c:pt idx="17">
                        <c:v>2012</c:v>
                      </c:pt>
                      <c:pt idx="18">
                        <c:v>2013</c:v>
                      </c:pt>
                      <c:pt idx="19">
                        <c:v>2014</c:v>
                      </c:pt>
                      <c:pt idx="20">
                        <c:v>2015</c:v>
                      </c:pt>
                      <c:pt idx="21">
                        <c:v>2016</c:v>
                      </c:pt>
                      <c:pt idx="22">
                        <c:v>2017</c:v>
                      </c:pt>
                      <c:pt idx="23">
                        <c:v>2018</c:v>
                      </c:pt>
                      <c:pt idx="24">
                        <c:v>2019</c:v>
                      </c:pt>
                      <c:pt idx="25">
                        <c:v>2020</c:v>
                      </c:pt>
                      <c:pt idx="26">
                        <c:v>2021</c:v>
                      </c:pt>
                      <c:pt idx="27">
                        <c:v>2022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'PLE Financial History'!$K$4:$K$28</c15:sqref>
                        </c15:formulaRef>
                      </c:ext>
                    </c:extLst>
                    <c:numCache>
                      <c:formatCode>"$"#,##0</c:formatCode>
                      <c:ptCount val="25"/>
                      <c:pt idx="0">
                        <c:v>4249</c:v>
                      </c:pt>
                      <c:pt idx="1">
                        <c:v>5981.97</c:v>
                      </c:pt>
                      <c:pt idx="2">
                        <c:v>5348.2300000000005</c:v>
                      </c:pt>
                      <c:pt idx="3">
                        <c:v>6433.86</c:v>
                      </c:pt>
                      <c:pt idx="4">
                        <c:v>5584.81</c:v>
                      </c:pt>
                      <c:pt idx="5">
                        <c:v>8946.92</c:v>
                      </c:pt>
                      <c:pt idx="6">
                        <c:v>10199.380000000001</c:v>
                      </c:pt>
                      <c:pt idx="7">
                        <c:v>12464.71</c:v>
                      </c:pt>
                      <c:pt idx="8">
                        <c:v>15581.07</c:v>
                      </c:pt>
                      <c:pt idx="9">
                        <c:v>20502.39</c:v>
                      </c:pt>
                      <c:pt idx="10">
                        <c:v>21747.55</c:v>
                      </c:pt>
                      <c:pt idx="11">
                        <c:v>20968.04</c:v>
                      </c:pt>
                      <c:pt idx="12">
                        <c:v>24532.86</c:v>
                      </c:pt>
                      <c:pt idx="13">
                        <c:v>22535</c:v>
                      </c:pt>
                      <c:pt idx="14">
                        <c:v>15843.65</c:v>
                      </c:pt>
                      <c:pt idx="15">
                        <c:v>16433.64</c:v>
                      </c:pt>
                      <c:pt idx="16">
                        <c:v>19482.62</c:v>
                      </c:pt>
                      <c:pt idx="17">
                        <c:v>23538.18</c:v>
                      </c:pt>
                      <c:pt idx="18">
                        <c:v>26746.75</c:v>
                      </c:pt>
                      <c:pt idx="19">
                        <c:v>28293.22</c:v>
                      </c:pt>
                      <c:pt idx="20">
                        <c:v>25332.04</c:v>
                      </c:pt>
                      <c:pt idx="21">
                        <c:v>19783.100000000002</c:v>
                      </c:pt>
                      <c:pt idx="22">
                        <c:v>23160.1</c:v>
                      </c:pt>
                      <c:pt idx="23">
                        <c:v>23374.07</c:v>
                      </c:pt>
                      <c:pt idx="24">
                        <c:v>17009.909999999996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1-5248-4F49-A080-2FDA0F5F63A1}"/>
                  </c:ext>
                </c:extLst>
              </c15:ser>
            </c15:filteredAreaSeries>
          </c:ext>
        </c:extLst>
      </c:areaChart>
      <c:catAx>
        <c:axId val="410538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0539224"/>
        <c:crosses val="autoZero"/>
        <c:auto val="1"/>
        <c:lblAlgn val="ctr"/>
        <c:lblOffset val="100"/>
        <c:noMultiLvlLbl val="0"/>
      </c:catAx>
      <c:valAx>
        <c:axId val="4105392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053883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457632608131334"/>
          <c:y val="0.59037037037037032"/>
          <c:w val="0.20911289623743398"/>
          <c:h val="0.16942319498198316"/>
        </c:manualLayout>
      </c:layout>
      <c:overlay val="0"/>
      <c:spPr>
        <a:solidFill>
          <a:sysClr val="window" lastClr="FFFFFF"/>
        </a:solidFill>
        <a:ln>
          <a:solidFill>
            <a:sysClr val="windowText" lastClr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ysClr val="windowText" lastClr="000000"/>
                </a:solidFill>
              </a:rPr>
              <a:t>PLE Water Cost</a:t>
            </a:r>
          </a:p>
        </c:rich>
      </c:tx>
      <c:layout>
        <c:manualLayout>
          <c:xMode val="edge"/>
          <c:yMode val="edge"/>
          <c:x val="0.38591072762511974"/>
          <c:y val="4.713804713804713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34838145231846"/>
          <c:y val="0.17171296296296296"/>
          <c:w val="0.79343219597550307"/>
          <c:h val="0.66535505978419363"/>
        </c:manualLayout>
      </c:layout>
      <c:areaChart>
        <c:grouping val="standard"/>
        <c:varyColors val="0"/>
        <c:ser>
          <c:idx val="1"/>
          <c:order val="0"/>
          <c:tx>
            <c:v>Water</c:v>
          </c:tx>
          <c:spPr>
            <a:solidFill>
              <a:schemeClr val="accent1">
                <a:lumMod val="75000"/>
              </a:schemeClr>
            </a:solidFill>
            <a:ln>
              <a:solidFill>
                <a:sysClr val="windowText" lastClr="000000"/>
              </a:solidFill>
            </a:ln>
            <a:effectLst/>
          </c:spPr>
          <c:cat>
            <c:strRef>
              <c:f>'PLE Financial History'!$A$4:$A$31</c:f>
              <c:strCache>
                <c:ptCount val="28"/>
                <c:pt idx="0">
                  <c:v>92-'95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</c:strCache>
            </c:strRef>
          </c:cat>
          <c:val>
            <c:numRef>
              <c:f>'PLE Financial History'!$N$4:$N$31</c:f>
              <c:numCache>
                <c:formatCode>"$"#,##0</c:formatCode>
                <c:ptCount val="28"/>
                <c:pt idx="0">
                  <c:v>27</c:v>
                </c:pt>
                <c:pt idx="1">
                  <c:v>659</c:v>
                </c:pt>
                <c:pt idx="2">
                  <c:v>128</c:v>
                </c:pt>
                <c:pt idx="3">
                  <c:v>156</c:v>
                </c:pt>
                <c:pt idx="4">
                  <c:v>202</c:v>
                </c:pt>
                <c:pt idx="5">
                  <c:v>1071</c:v>
                </c:pt>
                <c:pt idx="6">
                  <c:v>657</c:v>
                </c:pt>
                <c:pt idx="7">
                  <c:v>648</c:v>
                </c:pt>
                <c:pt idx="8">
                  <c:v>1337</c:v>
                </c:pt>
                <c:pt idx="9">
                  <c:v>1500</c:v>
                </c:pt>
                <c:pt idx="10">
                  <c:v>1286</c:v>
                </c:pt>
                <c:pt idx="11">
                  <c:v>2187</c:v>
                </c:pt>
                <c:pt idx="12">
                  <c:v>2156</c:v>
                </c:pt>
                <c:pt idx="13">
                  <c:v>2926</c:v>
                </c:pt>
                <c:pt idx="14">
                  <c:v>1674</c:v>
                </c:pt>
                <c:pt idx="15">
                  <c:v>1664</c:v>
                </c:pt>
                <c:pt idx="16">
                  <c:v>1736</c:v>
                </c:pt>
                <c:pt idx="17">
                  <c:v>632</c:v>
                </c:pt>
                <c:pt idx="18">
                  <c:v>598</c:v>
                </c:pt>
                <c:pt idx="19">
                  <c:v>1358.42</c:v>
                </c:pt>
                <c:pt idx="20">
                  <c:v>1227.8699999999999</c:v>
                </c:pt>
                <c:pt idx="21">
                  <c:v>620.05000000000007</c:v>
                </c:pt>
                <c:pt idx="22">
                  <c:v>617.43999999999994</c:v>
                </c:pt>
                <c:pt idx="23">
                  <c:v>1152.77</c:v>
                </c:pt>
                <c:pt idx="24">
                  <c:v>647.21999999999991</c:v>
                </c:pt>
                <c:pt idx="25">
                  <c:v>1298.5500000000002</c:v>
                </c:pt>
                <c:pt idx="26">
                  <c:v>1077.3899999999999</c:v>
                </c:pt>
                <c:pt idx="27">
                  <c:v>1746.94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16E-4E3E-91E2-945B7145ED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04288672"/>
        <c:axId val="404292200"/>
        <c:extLst>
          <c:ext xmlns:c15="http://schemas.microsoft.com/office/drawing/2012/chart" uri="{02D57815-91ED-43cb-92C2-25804820EDAC}">
            <c15:filteredAreaSeries>
              <c15:ser>
                <c:idx val="0"/>
                <c:order val="1"/>
                <c:tx>
                  <c:v>Dues &amp; Interest</c:v>
                </c:tx>
                <c:spPr>
                  <a:solidFill>
                    <a:schemeClr val="accent1"/>
                  </a:solidFill>
                  <a:ln>
                    <a:solidFill>
                      <a:schemeClr val="accent1">
                        <a:lumMod val="75000"/>
                      </a:schemeClr>
                    </a:solidFill>
                  </a:ln>
                  <a:effectLst/>
                </c:spPr>
                <c:cat>
                  <c:strRef>
                    <c:extLst>
                      <c:ext uri="{02D57815-91ED-43cb-92C2-25804820EDAC}">
                        <c15:formulaRef>
                          <c15:sqref>'PLE Financial History'!$A$4:$A$31</c15:sqref>
                        </c15:formulaRef>
                      </c:ext>
                    </c:extLst>
                    <c:strCache>
                      <c:ptCount val="28"/>
                      <c:pt idx="0">
                        <c:v>92-'95</c:v>
                      </c:pt>
                      <c:pt idx="1">
                        <c:v>1996</c:v>
                      </c:pt>
                      <c:pt idx="2">
                        <c:v>1997</c:v>
                      </c:pt>
                      <c:pt idx="3">
                        <c:v>1998</c:v>
                      </c:pt>
                      <c:pt idx="4">
                        <c:v>1999</c:v>
                      </c:pt>
                      <c:pt idx="5">
                        <c:v>2000</c:v>
                      </c:pt>
                      <c:pt idx="6">
                        <c:v>2001</c:v>
                      </c:pt>
                      <c:pt idx="7">
                        <c:v>2002</c:v>
                      </c:pt>
                      <c:pt idx="8">
                        <c:v>2003</c:v>
                      </c:pt>
                      <c:pt idx="9">
                        <c:v>2004</c:v>
                      </c:pt>
                      <c:pt idx="10">
                        <c:v>2005</c:v>
                      </c:pt>
                      <c:pt idx="11">
                        <c:v>2006</c:v>
                      </c:pt>
                      <c:pt idx="12">
                        <c:v>2007</c:v>
                      </c:pt>
                      <c:pt idx="13">
                        <c:v>2008</c:v>
                      </c:pt>
                      <c:pt idx="14">
                        <c:v>2009</c:v>
                      </c:pt>
                      <c:pt idx="15">
                        <c:v>2010</c:v>
                      </c:pt>
                      <c:pt idx="16">
                        <c:v>2011</c:v>
                      </c:pt>
                      <c:pt idx="17">
                        <c:v>2012</c:v>
                      </c:pt>
                      <c:pt idx="18">
                        <c:v>2013</c:v>
                      </c:pt>
                      <c:pt idx="19">
                        <c:v>2014</c:v>
                      </c:pt>
                      <c:pt idx="20">
                        <c:v>2015</c:v>
                      </c:pt>
                      <c:pt idx="21">
                        <c:v>2016</c:v>
                      </c:pt>
                      <c:pt idx="22">
                        <c:v>2017</c:v>
                      </c:pt>
                      <c:pt idx="23">
                        <c:v>2018</c:v>
                      </c:pt>
                      <c:pt idx="24">
                        <c:v>2019</c:v>
                      </c:pt>
                      <c:pt idx="25">
                        <c:v>2020</c:v>
                      </c:pt>
                      <c:pt idx="26">
                        <c:v>2021</c:v>
                      </c:pt>
                      <c:pt idx="27">
                        <c:v>2022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'PLE Financial History'!$E$4:$E$28</c15:sqref>
                        </c15:formulaRef>
                      </c:ext>
                    </c:extLst>
                    <c:numCache>
                      <c:formatCode>"$"#,##0</c:formatCode>
                      <c:ptCount val="25"/>
                      <c:pt idx="0">
                        <c:v>4828</c:v>
                      </c:pt>
                      <c:pt idx="1">
                        <c:v>10428</c:v>
                      </c:pt>
                      <c:pt idx="2">
                        <c:v>6200</c:v>
                      </c:pt>
                      <c:pt idx="3">
                        <c:v>7659</c:v>
                      </c:pt>
                      <c:pt idx="4">
                        <c:v>8278.27</c:v>
                      </c:pt>
                      <c:pt idx="5">
                        <c:v>9861</c:v>
                      </c:pt>
                      <c:pt idx="6">
                        <c:v>9020.1</c:v>
                      </c:pt>
                      <c:pt idx="7">
                        <c:v>10225.92</c:v>
                      </c:pt>
                      <c:pt idx="8">
                        <c:v>11304.78</c:v>
                      </c:pt>
                      <c:pt idx="9">
                        <c:v>12128.08</c:v>
                      </c:pt>
                      <c:pt idx="10">
                        <c:v>12144.88</c:v>
                      </c:pt>
                      <c:pt idx="11">
                        <c:v>12156.56</c:v>
                      </c:pt>
                      <c:pt idx="12">
                        <c:v>12073.85</c:v>
                      </c:pt>
                      <c:pt idx="13">
                        <c:v>12220.83</c:v>
                      </c:pt>
                      <c:pt idx="14">
                        <c:v>11331.85</c:v>
                      </c:pt>
                      <c:pt idx="15">
                        <c:v>12015.41</c:v>
                      </c:pt>
                      <c:pt idx="16">
                        <c:v>12009.61</c:v>
                      </c:pt>
                      <c:pt idx="17">
                        <c:v>12005.76</c:v>
                      </c:pt>
                      <c:pt idx="18">
                        <c:v>11628</c:v>
                      </c:pt>
                      <c:pt idx="19">
                        <c:v>12004.17</c:v>
                      </c:pt>
                      <c:pt idx="20">
                        <c:v>10878.17</c:v>
                      </c:pt>
                      <c:pt idx="21">
                        <c:v>13500.04</c:v>
                      </c:pt>
                      <c:pt idx="22">
                        <c:v>11245</c:v>
                      </c:pt>
                      <c:pt idx="23">
                        <c:v>10500</c:v>
                      </c:pt>
                      <c:pt idx="24">
                        <c:v>13125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E16E-4E3E-91E2-945B7145EDB3}"/>
                  </c:ext>
                </c:extLst>
              </c15:ser>
            </c15:filteredAreaSeries>
            <c15:filteredAreaSeries>
              <c15:ser>
                <c:idx val="3"/>
                <c:order val="2"/>
                <c:tx>
                  <c:v>Non-Routine</c:v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'PLE Financial History'!$A$4:$A$31</c15:sqref>
                        </c15:formulaRef>
                      </c:ext>
                    </c:extLst>
                    <c:strCache>
                      <c:ptCount val="28"/>
                      <c:pt idx="0">
                        <c:v>92-'95</c:v>
                      </c:pt>
                      <c:pt idx="1">
                        <c:v>1996</c:v>
                      </c:pt>
                      <c:pt idx="2">
                        <c:v>1997</c:v>
                      </c:pt>
                      <c:pt idx="3">
                        <c:v>1998</c:v>
                      </c:pt>
                      <c:pt idx="4">
                        <c:v>1999</c:v>
                      </c:pt>
                      <c:pt idx="5">
                        <c:v>2000</c:v>
                      </c:pt>
                      <c:pt idx="6">
                        <c:v>2001</c:v>
                      </c:pt>
                      <c:pt idx="7">
                        <c:v>2002</c:v>
                      </c:pt>
                      <c:pt idx="8">
                        <c:v>2003</c:v>
                      </c:pt>
                      <c:pt idx="9">
                        <c:v>2004</c:v>
                      </c:pt>
                      <c:pt idx="10">
                        <c:v>2005</c:v>
                      </c:pt>
                      <c:pt idx="11">
                        <c:v>2006</c:v>
                      </c:pt>
                      <c:pt idx="12">
                        <c:v>2007</c:v>
                      </c:pt>
                      <c:pt idx="13">
                        <c:v>2008</c:v>
                      </c:pt>
                      <c:pt idx="14">
                        <c:v>2009</c:v>
                      </c:pt>
                      <c:pt idx="15">
                        <c:v>2010</c:v>
                      </c:pt>
                      <c:pt idx="16">
                        <c:v>2011</c:v>
                      </c:pt>
                      <c:pt idx="17">
                        <c:v>2012</c:v>
                      </c:pt>
                      <c:pt idx="18">
                        <c:v>2013</c:v>
                      </c:pt>
                      <c:pt idx="19">
                        <c:v>2014</c:v>
                      </c:pt>
                      <c:pt idx="20">
                        <c:v>2015</c:v>
                      </c:pt>
                      <c:pt idx="21">
                        <c:v>2016</c:v>
                      </c:pt>
                      <c:pt idx="22">
                        <c:v>2017</c:v>
                      </c:pt>
                      <c:pt idx="23">
                        <c:v>2018</c:v>
                      </c:pt>
                      <c:pt idx="24">
                        <c:v>2019</c:v>
                      </c:pt>
                      <c:pt idx="25">
                        <c:v>2020</c:v>
                      </c:pt>
                      <c:pt idx="26">
                        <c:v>2021</c:v>
                      </c:pt>
                      <c:pt idx="27">
                        <c:v>2022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'PLE Financial History'!$J$4:$J$29</c15:sqref>
                        </c15:formulaRef>
                      </c:ext>
                    </c:extLst>
                    <c:numCache>
                      <c:formatCode>"$"#,##0</c:formatCode>
                      <c:ptCount val="26"/>
                      <c:pt idx="0">
                        <c:v>579</c:v>
                      </c:pt>
                      <c:pt idx="1">
                        <c:v>8695.0299999999988</c:v>
                      </c:pt>
                      <c:pt idx="2">
                        <c:v>6833.74</c:v>
                      </c:pt>
                      <c:pt idx="3">
                        <c:v>6573.3700000000008</c:v>
                      </c:pt>
                      <c:pt idx="4">
                        <c:v>9127.32</c:v>
                      </c:pt>
                      <c:pt idx="5">
                        <c:v>13852.89</c:v>
                      </c:pt>
                      <c:pt idx="6">
                        <c:v>7767.6399999999994</c:v>
                      </c:pt>
                      <c:pt idx="7">
                        <c:v>7960.590000000002</c:v>
                      </c:pt>
                      <c:pt idx="8">
                        <c:v>8188.42</c:v>
                      </c:pt>
                      <c:pt idx="9">
                        <c:v>7206.76</c:v>
                      </c:pt>
                      <c:pt idx="10">
                        <c:v>10899.72</c:v>
                      </c:pt>
                      <c:pt idx="11">
                        <c:v>12936.069999999998</c:v>
                      </c:pt>
                      <c:pt idx="12">
                        <c:v>8509.0300000000007</c:v>
                      </c:pt>
                      <c:pt idx="13">
                        <c:v>14218.69</c:v>
                      </c:pt>
                      <c:pt idx="14">
                        <c:v>18023.2</c:v>
                      </c:pt>
                      <c:pt idx="15">
                        <c:v>11425.42</c:v>
                      </c:pt>
                      <c:pt idx="16">
                        <c:v>8960.630000000001</c:v>
                      </c:pt>
                      <c:pt idx="17">
                        <c:v>7950.1999999999989</c:v>
                      </c:pt>
                      <c:pt idx="18">
                        <c:v>8419.43</c:v>
                      </c:pt>
                      <c:pt idx="19">
                        <c:v>10457.699999999999</c:v>
                      </c:pt>
                      <c:pt idx="20">
                        <c:v>13839.35</c:v>
                      </c:pt>
                      <c:pt idx="21">
                        <c:v>19048.98</c:v>
                      </c:pt>
                      <c:pt idx="22">
                        <c:v>7868.0000000000036</c:v>
                      </c:pt>
                      <c:pt idx="23">
                        <c:v>10286.029999999999</c:v>
                      </c:pt>
                      <c:pt idx="24">
                        <c:v>19489.160000000003</c:v>
                      </c:pt>
                      <c:pt idx="25">
                        <c:v>13021.869999999999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E16E-4E3E-91E2-945B7145EDB3}"/>
                  </c:ext>
                </c:extLst>
              </c15:ser>
            </c15:filteredAreaSeries>
            <c15:filteredAreaSeries>
              <c15:ser>
                <c:idx val="2"/>
                <c:order val="3"/>
                <c:tx>
                  <c:v>Routine</c:v>
                </c:tx>
                <c:spPr>
                  <a:solidFill>
                    <a:schemeClr val="accent1"/>
                  </a:solidFill>
                  <a:ln>
                    <a:solidFill>
                      <a:sysClr val="windowText" lastClr="000000"/>
                    </a:solidFill>
                  </a:ln>
                  <a:effectLst/>
                </c:spP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'PLE Financial History'!$A$4:$A$31</c15:sqref>
                        </c15:formulaRef>
                      </c:ext>
                    </c:extLst>
                    <c:strCache>
                      <c:ptCount val="28"/>
                      <c:pt idx="0">
                        <c:v>92-'95</c:v>
                      </c:pt>
                      <c:pt idx="1">
                        <c:v>1996</c:v>
                      </c:pt>
                      <c:pt idx="2">
                        <c:v>1997</c:v>
                      </c:pt>
                      <c:pt idx="3">
                        <c:v>1998</c:v>
                      </c:pt>
                      <c:pt idx="4">
                        <c:v>1999</c:v>
                      </c:pt>
                      <c:pt idx="5">
                        <c:v>2000</c:v>
                      </c:pt>
                      <c:pt idx="6">
                        <c:v>2001</c:v>
                      </c:pt>
                      <c:pt idx="7">
                        <c:v>2002</c:v>
                      </c:pt>
                      <c:pt idx="8">
                        <c:v>2003</c:v>
                      </c:pt>
                      <c:pt idx="9">
                        <c:v>2004</c:v>
                      </c:pt>
                      <c:pt idx="10">
                        <c:v>2005</c:v>
                      </c:pt>
                      <c:pt idx="11">
                        <c:v>2006</c:v>
                      </c:pt>
                      <c:pt idx="12">
                        <c:v>2007</c:v>
                      </c:pt>
                      <c:pt idx="13">
                        <c:v>2008</c:v>
                      </c:pt>
                      <c:pt idx="14">
                        <c:v>2009</c:v>
                      </c:pt>
                      <c:pt idx="15">
                        <c:v>2010</c:v>
                      </c:pt>
                      <c:pt idx="16">
                        <c:v>2011</c:v>
                      </c:pt>
                      <c:pt idx="17">
                        <c:v>2012</c:v>
                      </c:pt>
                      <c:pt idx="18">
                        <c:v>2013</c:v>
                      </c:pt>
                      <c:pt idx="19">
                        <c:v>2014</c:v>
                      </c:pt>
                      <c:pt idx="20">
                        <c:v>2015</c:v>
                      </c:pt>
                      <c:pt idx="21">
                        <c:v>2016</c:v>
                      </c:pt>
                      <c:pt idx="22">
                        <c:v>2017</c:v>
                      </c:pt>
                      <c:pt idx="23">
                        <c:v>2018</c:v>
                      </c:pt>
                      <c:pt idx="24">
                        <c:v>2019</c:v>
                      </c:pt>
                      <c:pt idx="25">
                        <c:v>2020</c:v>
                      </c:pt>
                      <c:pt idx="26">
                        <c:v>2021</c:v>
                      </c:pt>
                      <c:pt idx="27">
                        <c:v>2022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'PLE Financial History'!$M$4:$M$29</c15:sqref>
                        </c15:formulaRef>
                      </c:ext>
                    </c:extLst>
                    <c:numCache>
                      <c:formatCode>"$"#,##0</c:formatCode>
                      <c:ptCount val="26"/>
                      <c:pt idx="0">
                        <c:v>384</c:v>
                      </c:pt>
                      <c:pt idx="1">
                        <c:v>5051</c:v>
                      </c:pt>
                      <c:pt idx="2">
                        <c:v>4642</c:v>
                      </c:pt>
                      <c:pt idx="3">
                        <c:v>4636</c:v>
                      </c:pt>
                      <c:pt idx="4">
                        <c:v>3591</c:v>
                      </c:pt>
                      <c:pt idx="5">
                        <c:v>2984</c:v>
                      </c:pt>
                      <c:pt idx="6">
                        <c:v>4139</c:v>
                      </c:pt>
                      <c:pt idx="7">
                        <c:v>3958</c:v>
                      </c:pt>
                      <c:pt idx="8">
                        <c:v>4025</c:v>
                      </c:pt>
                      <c:pt idx="9">
                        <c:v>4280</c:v>
                      </c:pt>
                      <c:pt idx="10">
                        <c:v>4362</c:v>
                      </c:pt>
                      <c:pt idx="11">
                        <c:v>3447</c:v>
                      </c:pt>
                      <c:pt idx="12">
                        <c:v>5073</c:v>
                      </c:pt>
                      <c:pt idx="13">
                        <c:v>4736</c:v>
                      </c:pt>
                      <c:pt idx="14">
                        <c:v>5231</c:v>
                      </c:pt>
                      <c:pt idx="15">
                        <c:v>5935</c:v>
                      </c:pt>
                      <c:pt idx="16">
                        <c:v>6217</c:v>
                      </c:pt>
                      <c:pt idx="17">
                        <c:v>6232</c:v>
                      </c:pt>
                      <c:pt idx="18">
                        <c:v>6232</c:v>
                      </c:pt>
                      <c:pt idx="19">
                        <c:v>6276.7199999999975</c:v>
                      </c:pt>
                      <c:pt idx="20">
                        <c:v>6276.739999999998</c:v>
                      </c:pt>
                      <c:pt idx="21">
                        <c:v>6616.3300000000008</c:v>
                      </c:pt>
                      <c:pt idx="22">
                        <c:v>6448.4499999999989</c:v>
                      </c:pt>
                      <c:pt idx="23">
                        <c:v>8002.46</c:v>
                      </c:pt>
                      <c:pt idx="24">
                        <c:v>8574.82</c:v>
                      </c:pt>
                      <c:pt idx="25">
                        <c:v>7326.25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E16E-4E3E-91E2-945B7145EDB3}"/>
                  </c:ext>
                </c:extLst>
              </c15:ser>
            </c15:filteredAreaSeries>
            <c15:filteredAreaSeries>
              <c15:ser>
                <c:idx val="4"/>
                <c:order val="4"/>
                <c:spPr>
                  <a:solidFill>
                    <a:schemeClr val="accent5"/>
                  </a:solidFill>
                  <a:ln>
                    <a:noFill/>
                  </a:ln>
                  <a:effectLst/>
                </c:spP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'PLE Financial History'!$A$4:$A$31</c15:sqref>
                        </c15:formulaRef>
                      </c:ext>
                    </c:extLst>
                    <c:strCache>
                      <c:ptCount val="28"/>
                      <c:pt idx="0">
                        <c:v>92-'95</c:v>
                      </c:pt>
                      <c:pt idx="1">
                        <c:v>1996</c:v>
                      </c:pt>
                      <c:pt idx="2">
                        <c:v>1997</c:v>
                      </c:pt>
                      <c:pt idx="3">
                        <c:v>1998</c:v>
                      </c:pt>
                      <c:pt idx="4">
                        <c:v>1999</c:v>
                      </c:pt>
                      <c:pt idx="5">
                        <c:v>2000</c:v>
                      </c:pt>
                      <c:pt idx="6">
                        <c:v>2001</c:v>
                      </c:pt>
                      <c:pt idx="7">
                        <c:v>2002</c:v>
                      </c:pt>
                      <c:pt idx="8">
                        <c:v>2003</c:v>
                      </c:pt>
                      <c:pt idx="9">
                        <c:v>2004</c:v>
                      </c:pt>
                      <c:pt idx="10">
                        <c:v>2005</c:v>
                      </c:pt>
                      <c:pt idx="11">
                        <c:v>2006</c:v>
                      </c:pt>
                      <c:pt idx="12">
                        <c:v>2007</c:v>
                      </c:pt>
                      <c:pt idx="13">
                        <c:v>2008</c:v>
                      </c:pt>
                      <c:pt idx="14">
                        <c:v>2009</c:v>
                      </c:pt>
                      <c:pt idx="15">
                        <c:v>2010</c:v>
                      </c:pt>
                      <c:pt idx="16">
                        <c:v>2011</c:v>
                      </c:pt>
                      <c:pt idx="17">
                        <c:v>2012</c:v>
                      </c:pt>
                      <c:pt idx="18">
                        <c:v>2013</c:v>
                      </c:pt>
                      <c:pt idx="19">
                        <c:v>2014</c:v>
                      </c:pt>
                      <c:pt idx="20">
                        <c:v>2015</c:v>
                      </c:pt>
                      <c:pt idx="21">
                        <c:v>2016</c:v>
                      </c:pt>
                      <c:pt idx="22">
                        <c:v>2017</c:v>
                      </c:pt>
                      <c:pt idx="23">
                        <c:v>2018</c:v>
                      </c:pt>
                      <c:pt idx="24">
                        <c:v>2019</c:v>
                      </c:pt>
                      <c:pt idx="25">
                        <c:v>2020</c:v>
                      </c:pt>
                      <c:pt idx="26">
                        <c:v>2021</c:v>
                      </c:pt>
                      <c:pt idx="27">
                        <c:v>2022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'PLE Financial History'!$I$4:$I$28</c15:sqref>
                        </c15:formulaRef>
                      </c:ext>
                    </c:extLst>
                    <c:numCache>
                      <c:formatCode>"$"#,##0</c:formatCode>
                      <c:ptCount val="25"/>
                      <c:pt idx="0">
                        <c:v>0</c:v>
                      </c:pt>
                      <c:pt idx="1">
                        <c:v>963</c:v>
                      </c:pt>
                      <c:pt idx="2">
                        <c:v>891</c:v>
                      </c:pt>
                      <c:pt idx="3">
                        <c:v>320</c:v>
                      </c:pt>
                      <c:pt idx="4">
                        <c:v>4205</c:v>
                      </c:pt>
                      <c:pt idx="5">
                        <c:v>8423</c:v>
                      </c:pt>
                      <c:pt idx="6">
                        <c:v>1785</c:v>
                      </c:pt>
                      <c:pt idx="7">
                        <c:v>2367</c:v>
                      </c:pt>
                      <c:pt idx="8">
                        <c:v>1585</c:v>
                      </c:pt>
                      <c:pt idx="9">
                        <c:v>265</c:v>
                      </c:pt>
                      <c:pt idx="10">
                        <c:v>3950</c:v>
                      </c:pt>
                      <c:pt idx="11">
                        <c:v>6000</c:v>
                      </c:pt>
                      <c:pt idx="12">
                        <c:v>0</c:v>
                      </c:pt>
                      <c:pt idx="13">
                        <c:v>5332</c:v>
                      </c:pt>
                      <c:pt idx="14">
                        <c:v>9886</c:v>
                      </c:pt>
                      <c:pt idx="15">
                        <c:v>2435</c:v>
                      </c:pt>
                      <c:pt idx="16">
                        <c:v>0</c:v>
                      </c:pt>
                      <c:pt idx="17">
                        <c:v>175</c:v>
                      </c:pt>
                      <c:pt idx="18">
                        <c:v>367</c:v>
                      </c:pt>
                      <c:pt idx="19">
                        <c:v>1947</c:v>
                      </c:pt>
                      <c:pt idx="20">
                        <c:v>6110</c:v>
                      </c:pt>
                      <c:pt idx="21">
                        <c:v>10754</c:v>
                      </c:pt>
                      <c:pt idx="22">
                        <c:v>0</c:v>
                      </c:pt>
                      <c:pt idx="23">
                        <c:v>0</c:v>
                      </c:pt>
                      <c:pt idx="24">
                        <c:v>8157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E16E-4E3E-91E2-945B7145EDB3}"/>
                  </c:ext>
                </c:extLst>
              </c15:ser>
            </c15:filteredAreaSeries>
            <c15:filteredAreaSeries>
              <c15:ser>
                <c:idx val="5"/>
                <c:order val="5"/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'PLE Financial History'!$A$4:$A$31</c15:sqref>
                        </c15:formulaRef>
                      </c:ext>
                    </c:extLst>
                    <c:strCache>
                      <c:ptCount val="28"/>
                      <c:pt idx="0">
                        <c:v>92-'95</c:v>
                      </c:pt>
                      <c:pt idx="1">
                        <c:v>1996</c:v>
                      </c:pt>
                      <c:pt idx="2">
                        <c:v>1997</c:v>
                      </c:pt>
                      <c:pt idx="3">
                        <c:v>1998</c:v>
                      </c:pt>
                      <c:pt idx="4">
                        <c:v>1999</c:v>
                      </c:pt>
                      <c:pt idx="5">
                        <c:v>2000</c:v>
                      </c:pt>
                      <c:pt idx="6">
                        <c:v>2001</c:v>
                      </c:pt>
                      <c:pt idx="7">
                        <c:v>2002</c:v>
                      </c:pt>
                      <c:pt idx="8">
                        <c:v>2003</c:v>
                      </c:pt>
                      <c:pt idx="9">
                        <c:v>2004</c:v>
                      </c:pt>
                      <c:pt idx="10">
                        <c:v>2005</c:v>
                      </c:pt>
                      <c:pt idx="11">
                        <c:v>2006</c:v>
                      </c:pt>
                      <c:pt idx="12">
                        <c:v>2007</c:v>
                      </c:pt>
                      <c:pt idx="13">
                        <c:v>2008</c:v>
                      </c:pt>
                      <c:pt idx="14">
                        <c:v>2009</c:v>
                      </c:pt>
                      <c:pt idx="15">
                        <c:v>2010</c:v>
                      </c:pt>
                      <c:pt idx="16">
                        <c:v>2011</c:v>
                      </c:pt>
                      <c:pt idx="17">
                        <c:v>2012</c:v>
                      </c:pt>
                      <c:pt idx="18">
                        <c:v>2013</c:v>
                      </c:pt>
                      <c:pt idx="19">
                        <c:v>2014</c:v>
                      </c:pt>
                      <c:pt idx="20">
                        <c:v>2015</c:v>
                      </c:pt>
                      <c:pt idx="21">
                        <c:v>2016</c:v>
                      </c:pt>
                      <c:pt idx="22">
                        <c:v>2017</c:v>
                      </c:pt>
                      <c:pt idx="23">
                        <c:v>2018</c:v>
                      </c:pt>
                      <c:pt idx="24">
                        <c:v>2019</c:v>
                      </c:pt>
                      <c:pt idx="25">
                        <c:v>2020</c:v>
                      </c:pt>
                      <c:pt idx="26">
                        <c:v>2021</c:v>
                      </c:pt>
                      <c:pt idx="27">
                        <c:v>2022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'PLE Financial History'!$J$4:$J$28</c15:sqref>
                        </c15:formulaRef>
                      </c:ext>
                    </c:extLst>
                    <c:numCache>
                      <c:formatCode>"$"#,##0</c:formatCode>
                      <c:ptCount val="25"/>
                      <c:pt idx="0">
                        <c:v>579</c:v>
                      </c:pt>
                      <c:pt idx="1">
                        <c:v>8695.0299999999988</c:v>
                      </c:pt>
                      <c:pt idx="2">
                        <c:v>6833.74</c:v>
                      </c:pt>
                      <c:pt idx="3">
                        <c:v>6573.3700000000008</c:v>
                      </c:pt>
                      <c:pt idx="4">
                        <c:v>9127.32</c:v>
                      </c:pt>
                      <c:pt idx="5">
                        <c:v>13852.89</c:v>
                      </c:pt>
                      <c:pt idx="6">
                        <c:v>7767.6399999999994</c:v>
                      </c:pt>
                      <c:pt idx="7">
                        <c:v>7960.590000000002</c:v>
                      </c:pt>
                      <c:pt idx="8">
                        <c:v>8188.42</c:v>
                      </c:pt>
                      <c:pt idx="9">
                        <c:v>7206.76</c:v>
                      </c:pt>
                      <c:pt idx="10">
                        <c:v>10899.72</c:v>
                      </c:pt>
                      <c:pt idx="11">
                        <c:v>12936.069999999998</c:v>
                      </c:pt>
                      <c:pt idx="12">
                        <c:v>8509.0300000000007</c:v>
                      </c:pt>
                      <c:pt idx="13">
                        <c:v>14218.69</c:v>
                      </c:pt>
                      <c:pt idx="14">
                        <c:v>18023.2</c:v>
                      </c:pt>
                      <c:pt idx="15">
                        <c:v>11425.42</c:v>
                      </c:pt>
                      <c:pt idx="16">
                        <c:v>8960.630000000001</c:v>
                      </c:pt>
                      <c:pt idx="17">
                        <c:v>7950.1999999999989</c:v>
                      </c:pt>
                      <c:pt idx="18">
                        <c:v>8419.43</c:v>
                      </c:pt>
                      <c:pt idx="19">
                        <c:v>10457.699999999999</c:v>
                      </c:pt>
                      <c:pt idx="20">
                        <c:v>13839.35</c:v>
                      </c:pt>
                      <c:pt idx="21">
                        <c:v>19048.98</c:v>
                      </c:pt>
                      <c:pt idx="22">
                        <c:v>7868.0000000000036</c:v>
                      </c:pt>
                      <c:pt idx="23">
                        <c:v>10286.029999999999</c:v>
                      </c:pt>
                      <c:pt idx="24">
                        <c:v>19489.160000000003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E16E-4E3E-91E2-945B7145EDB3}"/>
                  </c:ext>
                </c:extLst>
              </c15:ser>
            </c15:filteredAreaSeries>
            <c15:filteredAreaSeries>
              <c15:ser>
                <c:idx val="6"/>
                <c:order val="6"/>
                <c:spPr>
                  <a:solidFill>
                    <a:schemeClr val="accent1">
                      <a:lumMod val="60000"/>
                    </a:schemeClr>
                  </a:solidFill>
                  <a:ln>
                    <a:noFill/>
                  </a:ln>
                  <a:effectLst/>
                </c:spP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'PLE Financial History'!$A$4:$A$31</c15:sqref>
                        </c15:formulaRef>
                      </c:ext>
                    </c:extLst>
                    <c:strCache>
                      <c:ptCount val="28"/>
                      <c:pt idx="0">
                        <c:v>92-'95</c:v>
                      </c:pt>
                      <c:pt idx="1">
                        <c:v>1996</c:v>
                      </c:pt>
                      <c:pt idx="2">
                        <c:v>1997</c:v>
                      </c:pt>
                      <c:pt idx="3">
                        <c:v>1998</c:v>
                      </c:pt>
                      <c:pt idx="4">
                        <c:v>1999</c:v>
                      </c:pt>
                      <c:pt idx="5">
                        <c:v>2000</c:v>
                      </c:pt>
                      <c:pt idx="6">
                        <c:v>2001</c:v>
                      </c:pt>
                      <c:pt idx="7">
                        <c:v>2002</c:v>
                      </c:pt>
                      <c:pt idx="8">
                        <c:v>2003</c:v>
                      </c:pt>
                      <c:pt idx="9">
                        <c:v>2004</c:v>
                      </c:pt>
                      <c:pt idx="10">
                        <c:v>2005</c:v>
                      </c:pt>
                      <c:pt idx="11">
                        <c:v>2006</c:v>
                      </c:pt>
                      <c:pt idx="12">
                        <c:v>2007</c:v>
                      </c:pt>
                      <c:pt idx="13">
                        <c:v>2008</c:v>
                      </c:pt>
                      <c:pt idx="14">
                        <c:v>2009</c:v>
                      </c:pt>
                      <c:pt idx="15">
                        <c:v>2010</c:v>
                      </c:pt>
                      <c:pt idx="16">
                        <c:v>2011</c:v>
                      </c:pt>
                      <c:pt idx="17">
                        <c:v>2012</c:v>
                      </c:pt>
                      <c:pt idx="18">
                        <c:v>2013</c:v>
                      </c:pt>
                      <c:pt idx="19">
                        <c:v>2014</c:v>
                      </c:pt>
                      <c:pt idx="20">
                        <c:v>2015</c:v>
                      </c:pt>
                      <c:pt idx="21">
                        <c:v>2016</c:v>
                      </c:pt>
                      <c:pt idx="22">
                        <c:v>2017</c:v>
                      </c:pt>
                      <c:pt idx="23">
                        <c:v>2018</c:v>
                      </c:pt>
                      <c:pt idx="24">
                        <c:v>2019</c:v>
                      </c:pt>
                      <c:pt idx="25">
                        <c:v>2020</c:v>
                      </c:pt>
                      <c:pt idx="26">
                        <c:v>2021</c:v>
                      </c:pt>
                      <c:pt idx="27">
                        <c:v>2022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'PLE Financial History'!$K$4:$K$28</c15:sqref>
                        </c15:formulaRef>
                      </c:ext>
                    </c:extLst>
                    <c:numCache>
                      <c:formatCode>"$"#,##0</c:formatCode>
                      <c:ptCount val="25"/>
                      <c:pt idx="0">
                        <c:v>4249</c:v>
                      </c:pt>
                      <c:pt idx="1">
                        <c:v>5981.97</c:v>
                      </c:pt>
                      <c:pt idx="2">
                        <c:v>5348.2300000000005</c:v>
                      </c:pt>
                      <c:pt idx="3">
                        <c:v>6433.86</c:v>
                      </c:pt>
                      <c:pt idx="4">
                        <c:v>5584.81</c:v>
                      </c:pt>
                      <c:pt idx="5">
                        <c:v>8946.92</c:v>
                      </c:pt>
                      <c:pt idx="6">
                        <c:v>10199.380000000001</c:v>
                      </c:pt>
                      <c:pt idx="7">
                        <c:v>12464.71</c:v>
                      </c:pt>
                      <c:pt idx="8">
                        <c:v>15581.07</c:v>
                      </c:pt>
                      <c:pt idx="9">
                        <c:v>20502.39</c:v>
                      </c:pt>
                      <c:pt idx="10">
                        <c:v>21747.55</c:v>
                      </c:pt>
                      <c:pt idx="11">
                        <c:v>20968.04</c:v>
                      </c:pt>
                      <c:pt idx="12">
                        <c:v>24532.86</c:v>
                      </c:pt>
                      <c:pt idx="13">
                        <c:v>22535</c:v>
                      </c:pt>
                      <c:pt idx="14">
                        <c:v>15843.65</c:v>
                      </c:pt>
                      <c:pt idx="15">
                        <c:v>16433.64</c:v>
                      </c:pt>
                      <c:pt idx="16">
                        <c:v>19482.62</c:v>
                      </c:pt>
                      <c:pt idx="17">
                        <c:v>23538.18</c:v>
                      </c:pt>
                      <c:pt idx="18">
                        <c:v>26746.75</c:v>
                      </c:pt>
                      <c:pt idx="19">
                        <c:v>28293.22</c:v>
                      </c:pt>
                      <c:pt idx="20">
                        <c:v>25332.04</c:v>
                      </c:pt>
                      <c:pt idx="21">
                        <c:v>19783.100000000002</c:v>
                      </c:pt>
                      <c:pt idx="22">
                        <c:v>23160.1</c:v>
                      </c:pt>
                      <c:pt idx="23">
                        <c:v>23374.07</c:v>
                      </c:pt>
                      <c:pt idx="24">
                        <c:v>17009.909999999996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E16E-4E3E-91E2-945B7145EDB3}"/>
                  </c:ext>
                </c:extLst>
              </c15:ser>
            </c15:filteredAreaSeries>
          </c:ext>
        </c:extLst>
      </c:areaChart>
      <c:catAx>
        <c:axId val="4042886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4292200"/>
        <c:crosses val="autoZero"/>
        <c:auto val="1"/>
        <c:lblAlgn val="ctr"/>
        <c:lblOffset val="100"/>
        <c:noMultiLvlLbl val="0"/>
      </c:catAx>
      <c:valAx>
        <c:axId val="4042922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428867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9715848316321172"/>
          <c:y val="0.20989898989898989"/>
          <c:w val="0.20911289623743398"/>
          <c:h val="0.16942319498198316"/>
        </c:manualLayout>
      </c:layout>
      <c:overlay val="0"/>
      <c:spPr>
        <a:solidFill>
          <a:sysClr val="window" lastClr="FFFFFF"/>
        </a:solidFill>
        <a:ln>
          <a:solidFill>
            <a:sysClr val="windowText" lastClr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PLE Dues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2542265316051716E-2"/>
          <c:y val="0.11303617691354458"/>
          <c:w val="0.86125695599571706"/>
          <c:h val="0.77654811829943837"/>
        </c:manualLayout>
      </c:layout>
      <c:lineChart>
        <c:grouping val="standard"/>
        <c:varyColors val="0"/>
        <c:ser>
          <c:idx val="0"/>
          <c:order val="0"/>
          <c:tx>
            <c:v>Approved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'PLE Financial History'!$A$4:$A$31</c:f>
              <c:strCache>
                <c:ptCount val="28"/>
                <c:pt idx="0">
                  <c:v>92-'95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</c:strCache>
            </c:strRef>
          </c:cat>
          <c:val>
            <c:numRef>
              <c:f>'PLE Financial History'!$B$4:$B$31</c:f>
              <c:numCache>
                <c:formatCode>"$"#,##0</c:formatCode>
                <c:ptCount val="28"/>
                <c:pt idx="0">
                  <c:v>250</c:v>
                </c:pt>
                <c:pt idx="1">
                  <c:v>250</c:v>
                </c:pt>
                <c:pt idx="2">
                  <c:v>250</c:v>
                </c:pt>
                <c:pt idx="3">
                  <c:v>250</c:v>
                </c:pt>
                <c:pt idx="4">
                  <c:v>250</c:v>
                </c:pt>
                <c:pt idx="5">
                  <c:v>287.5</c:v>
                </c:pt>
                <c:pt idx="6">
                  <c:v>287.5</c:v>
                </c:pt>
                <c:pt idx="7">
                  <c:v>315</c:v>
                </c:pt>
                <c:pt idx="8">
                  <c:v>350</c:v>
                </c:pt>
                <c:pt idx="9">
                  <c:v>375</c:v>
                </c:pt>
                <c:pt idx="10">
                  <c:v>375</c:v>
                </c:pt>
                <c:pt idx="11">
                  <c:v>375</c:v>
                </c:pt>
                <c:pt idx="12">
                  <c:v>375</c:v>
                </c:pt>
                <c:pt idx="13">
                  <c:v>375</c:v>
                </c:pt>
                <c:pt idx="14">
                  <c:v>375</c:v>
                </c:pt>
                <c:pt idx="15">
                  <c:v>375</c:v>
                </c:pt>
                <c:pt idx="16">
                  <c:v>375</c:v>
                </c:pt>
                <c:pt idx="17">
                  <c:v>375</c:v>
                </c:pt>
                <c:pt idx="18">
                  <c:v>375</c:v>
                </c:pt>
                <c:pt idx="19">
                  <c:v>375</c:v>
                </c:pt>
                <c:pt idx="20">
                  <c:v>375</c:v>
                </c:pt>
                <c:pt idx="21">
                  <c:v>375</c:v>
                </c:pt>
                <c:pt idx="22">
                  <c:v>375</c:v>
                </c:pt>
                <c:pt idx="23">
                  <c:v>375</c:v>
                </c:pt>
                <c:pt idx="24">
                  <c:v>375</c:v>
                </c:pt>
                <c:pt idx="25">
                  <c:v>430</c:v>
                </c:pt>
                <c:pt idx="26">
                  <c:v>430</c:v>
                </c:pt>
                <c:pt idx="27">
                  <c:v>430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52-4D05-9293-2CAC58125EFA}"/>
            </c:ext>
          </c:extLst>
        </c:ser>
        <c:ser>
          <c:idx val="1"/>
          <c:order val="1"/>
          <c:tx>
            <c:v>Applied</c:v>
          </c:tx>
          <c:spPr>
            <a:ln w="28575" cap="rnd">
              <a:solidFill>
                <a:srgbClr val="33CC33"/>
              </a:solidFill>
              <a:round/>
            </a:ln>
            <a:effectLst/>
          </c:spPr>
          <c:marker>
            <c:symbol val="none"/>
          </c:marker>
          <c:cat>
            <c:strRef>
              <c:f>'PLE Financial History'!$A$4:$A$31</c:f>
              <c:strCache>
                <c:ptCount val="28"/>
                <c:pt idx="0">
                  <c:v>92-'95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</c:strCache>
            </c:strRef>
          </c:cat>
          <c:val>
            <c:numRef>
              <c:f>'PLE Financial History'!$C$4:$C$31</c:f>
              <c:numCache>
                <c:formatCode>"$"#,##0</c:formatCode>
                <c:ptCount val="28"/>
                <c:pt idx="0">
                  <c:v>200</c:v>
                </c:pt>
                <c:pt idx="1">
                  <c:v>200</c:v>
                </c:pt>
                <c:pt idx="2">
                  <c:v>200</c:v>
                </c:pt>
                <c:pt idx="3">
                  <c:v>250</c:v>
                </c:pt>
                <c:pt idx="4">
                  <c:v>250</c:v>
                </c:pt>
                <c:pt idx="5">
                  <c:v>287.5</c:v>
                </c:pt>
                <c:pt idx="6">
                  <c:v>275</c:v>
                </c:pt>
                <c:pt idx="7">
                  <c:v>315</c:v>
                </c:pt>
                <c:pt idx="8">
                  <c:v>350</c:v>
                </c:pt>
                <c:pt idx="9">
                  <c:v>375</c:v>
                </c:pt>
                <c:pt idx="10">
                  <c:v>375</c:v>
                </c:pt>
                <c:pt idx="11">
                  <c:v>375</c:v>
                </c:pt>
                <c:pt idx="12">
                  <c:v>375</c:v>
                </c:pt>
                <c:pt idx="13">
                  <c:v>375</c:v>
                </c:pt>
                <c:pt idx="14">
                  <c:v>375</c:v>
                </c:pt>
                <c:pt idx="15">
                  <c:v>375</c:v>
                </c:pt>
                <c:pt idx="16">
                  <c:v>375</c:v>
                </c:pt>
                <c:pt idx="17">
                  <c:v>375</c:v>
                </c:pt>
                <c:pt idx="18">
                  <c:v>375</c:v>
                </c:pt>
                <c:pt idx="19">
                  <c:v>375</c:v>
                </c:pt>
                <c:pt idx="20">
                  <c:v>375</c:v>
                </c:pt>
                <c:pt idx="21">
                  <c:v>375</c:v>
                </c:pt>
                <c:pt idx="22">
                  <c:v>375</c:v>
                </c:pt>
                <c:pt idx="23">
                  <c:v>375</c:v>
                </c:pt>
                <c:pt idx="24">
                  <c:v>375</c:v>
                </c:pt>
                <c:pt idx="25">
                  <c:v>430</c:v>
                </c:pt>
                <c:pt idx="26">
                  <c:v>430</c:v>
                </c:pt>
                <c:pt idx="27">
                  <c:v>430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52-4D05-9293-2CAC58125E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04289064"/>
        <c:axId val="404294160"/>
        <c:extLst>
          <c:ext xmlns:c15="http://schemas.microsoft.com/office/drawing/2012/chart" uri="{02D57815-91ED-43cb-92C2-25804820EDAC}">
            <c15:filteredLineSeries>
              <c15:ser>
                <c:idx val="2"/>
                <c:order val="2"/>
                <c:tx>
                  <c:v>Projected</c:v>
                </c:tx>
                <c:spPr>
                  <a:ln w="28575" cap="rnd">
                    <a:solidFill>
                      <a:srgbClr val="33CC33"/>
                    </a:solidFill>
                    <a:prstDash val="sysDash"/>
                    <a:round/>
                  </a:ln>
                  <a:effectLst/>
                </c:spPr>
                <c:marker>
                  <c:symbol val="none"/>
                </c:marker>
                <c:dLbls>
                  <c:dLbl>
                    <c:idx val="25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2-0052-4D05-9293-2CAC58125EFA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200" b="0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'PLE Financial History'!$A$4:$A$31</c15:sqref>
                        </c15:formulaRef>
                      </c:ext>
                    </c:extLst>
                    <c:strCache>
                      <c:ptCount val="28"/>
                      <c:pt idx="0">
                        <c:v>92-'95</c:v>
                      </c:pt>
                      <c:pt idx="1">
                        <c:v>1996</c:v>
                      </c:pt>
                      <c:pt idx="2">
                        <c:v>1997</c:v>
                      </c:pt>
                      <c:pt idx="3">
                        <c:v>1998</c:v>
                      </c:pt>
                      <c:pt idx="4">
                        <c:v>1999</c:v>
                      </c:pt>
                      <c:pt idx="5">
                        <c:v>2000</c:v>
                      </c:pt>
                      <c:pt idx="6">
                        <c:v>2001</c:v>
                      </c:pt>
                      <c:pt idx="7">
                        <c:v>2002</c:v>
                      </c:pt>
                      <c:pt idx="8">
                        <c:v>2003</c:v>
                      </c:pt>
                      <c:pt idx="9">
                        <c:v>2004</c:v>
                      </c:pt>
                      <c:pt idx="10">
                        <c:v>2005</c:v>
                      </c:pt>
                      <c:pt idx="11">
                        <c:v>2006</c:v>
                      </c:pt>
                      <c:pt idx="12">
                        <c:v>2007</c:v>
                      </c:pt>
                      <c:pt idx="13">
                        <c:v>2008</c:v>
                      </c:pt>
                      <c:pt idx="14">
                        <c:v>2009</c:v>
                      </c:pt>
                      <c:pt idx="15">
                        <c:v>2010</c:v>
                      </c:pt>
                      <c:pt idx="16">
                        <c:v>2011</c:v>
                      </c:pt>
                      <c:pt idx="17">
                        <c:v>2012</c:v>
                      </c:pt>
                      <c:pt idx="18">
                        <c:v>2013</c:v>
                      </c:pt>
                      <c:pt idx="19">
                        <c:v>2014</c:v>
                      </c:pt>
                      <c:pt idx="20">
                        <c:v>2015</c:v>
                      </c:pt>
                      <c:pt idx="21">
                        <c:v>2016</c:v>
                      </c:pt>
                      <c:pt idx="22">
                        <c:v>2017</c:v>
                      </c:pt>
                      <c:pt idx="23">
                        <c:v>2018</c:v>
                      </c:pt>
                      <c:pt idx="24">
                        <c:v>2019</c:v>
                      </c:pt>
                      <c:pt idx="25">
                        <c:v>2020</c:v>
                      </c:pt>
                      <c:pt idx="26">
                        <c:v>2021</c:v>
                      </c:pt>
                      <c:pt idx="27">
                        <c:v>2022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'PLE Financial History'!$D$4:$D$29</c15:sqref>
                        </c15:formulaRef>
                      </c:ext>
                    </c:extLst>
                    <c:numCache>
                      <c:formatCode>"$"#,##0</c:formatCode>
                      <c:ptCount val="26"/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3-0052-4D05-9293-2CAC58125EFA}"/>
                  </c:ext>
                </c:extLst>
              </c15:ser>
            </c15:filteredLineSeries>
          </c:ext>
        </c:extLst>
      </c:lineChart>
      <c:catAx>
        <c:axId val="4042890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4294160"/>
        <c:crosses val="autoZero"/>
        <c:auto val="1"/>
        <c:lblAlgn val="ctr"/>
        <c:lblOffset val="100"/>
        <c:noMultiLvlLbl val="0"/>
      </c:catAx>
      <c:valAx>
        <c:axId val="4042941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42890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2646071693949825"/>
          <c:y val="0.4961364834031966"/>
          <c:w val="0.30115599665088416"/>
          <c:h val="0.26704866687080114"/>
        </c:manualLayout>
      </c:layout>
      <c:overlay val="0"/>
      <c:spPr>
        <a:solidFill>
          <a:schemeClr val="bg1"/>
        </a:solidFill>
        <a:ln>
          <a:solidFill>
            <a:sysClr val="windowText" lastClr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baseline="0"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baseline="0">
                <a:solidFill>
                  <a:sysClr val="windowText" lastClr="000000"/>
                </a:solidFill>
              </a:rPr>
              <a:t>Ending Balance By Month: 2014 - 2021 YTD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2014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'PLE Financial History'!$C$114:$DF$114</c:f>
              <c:numCache>
                <c:formatCode>m/d/yy;@</c:formatCode>
                <c:ptCount val="108"/>
                <c:pt idx="0">
                  <c:v>41669</c:v>
                </c:pt>
                <c:pt idx="1">
                  <c:v>41698</c:v>
                </c:pt>
                <c:pt idx="2">
                  <c:v>41729</c:v>
                </c:pt>
                <c:pt idx="3">
                  <c:v>41759</c:v>
                </c:pt>
                <c:pt idx="4">
                  <c:v>41790</c:v>
                </c:pt>
                <c:pt idx="5">
                  <c:v>41820</c:v>
                </c:pt>
                <c:pt idx="6">
                  <c:v>41851</c:v>
                </c:pt>
                <c:pt idx="7">
                  <c:v>41882</c:v>
                </c:pt>
                <c:pt idx="8">
                  <c:v>41912</c:v>
                </c:pt>
                <c:pt idx="9">
                  <c:v>41943</c:v>
                </c:pt>
                <c:pt idx="10">
                  <c:v>41973</c:v>
                </c:pt>
                <c:pt idx="11">
                  <c:v>42004</c:v>
                </c:pt>
                <c:pt idx="12">
                  <c:v>42035</c:v>
                </c:pt>
                <c:pt idx="13">
                  <c:v>42063</c:v>
                </c:pt>
                <c:pt idx="14">
                  <c:v>42094</c:v>
                </c:pt>
                <c:pt idx="15">
                  <c:v>42124</c:v>
                </c:pt>
                <c:pt idx="16">
                  <c:v>42155</c:v>
                </c:pt>
                <c:pt idx="17">
                  <c:v>42185</c:v>
                </c:pt>
                <c:pt idx="18">
                  <c:v>42216</c:v>
                </c:pt>
                <c:pt idx="19">
                  <c:v>42247</c:v>
                </c:pt>
                <c:pt idx="20">
                  <c:v>42277</c:v>
                </c:pt>
                <c:pt idx="21">
                  <c:v>42308</c:v>
                </c:pt>
                <c:pt idx="22">
                  <c:v>42338</c:v>
                </c:pt>
                <c:pt idx="23">
                  <c:v>42369</c:v>
                </c:pt>
                <c:pt idx="24">
                  <c:v>42400</c:v>
                </c:pt>
                <c:pt idx="25">
                  <c:v>42428</c:v>
                </c:pt>
                <c:pt idx="26">
                  <c:v>42460</c:v>
                </c:pt>
                <c:pt idx="27">
                  <c:v>42490</c:v>
                </c:pt>
                <c:pt idx="28">
                  <c:v>42521</c:v>
                </c:pt>
                <c:pt idx="29">
                  <c:v>42551</c:v>
                </c:pt>
                <c:pt idx="30">
                  <c:v>42582</c:v>
                </c:pt>
                <c:pt idx="31">
                  <c:v>42613</c:v>
                </c:pt>
                <c:pt idx="32">
                  <c:v>42643</c:v>
                </c:pt>
                <c:pt idx="33">
                  <c:v>42674</c:v>
                </c:pt>
                <c:pt idx="34">
                  <c:v>42704</c:v>
                </c:pt>
                <c:pt idx="35">
                  <c:v>42735</c:v>
                </c:pt>
                <c:pt idx="36">
                  <c:v>42766</c:v>
                </c:pt>
                <c:pt idx="37">
                  <c:v>42794</c:v>
                </c:pt>
                <c:pt idx="38">
                  <c:v>42825</c:v>
                </c:pt>
                <c:pt idx="39">
                  <c:v>42855</c:v>
                </c:pt>
                <c:pt idx="40">
                  <c:v>42886</c:v>
                </c:pt>
                <c:pt idx="41">
                  <c:v>42916</c:v>
                </c:pt>
                <c:pt idx="42">
                  <c:v>42947</c:v>
                </c:pt>
                <c:pt idx="43">
                  <c:v>42978</c:v>
                </c:pt>
                <c:pt idx="44">
                  <c:v>43008</c:v>
                </c:pt>
                <c:pt idx="45">
                  <c:v>43039</c:v>
                </c:pt>
                <c:pt idx="46">
                  <c:v>43069</c:v>
                </c:pt>
                <c:pt idx="47">
                  <c:v>43100</c:v>
                </c:pt>
                <c:pt idx="48">
                  <c:v>43131</c:v>
                </c:pt>
                <c:pt idx="49">
                  <c:v>43159</c:v>
                </c:pt>
                <c:pt idx="50">
                  <c:v>43190</c:v>
                </c:pt>
                <c:pt idx="51">
                  <c:v>43220</c:v>
                </c:pt>
                <c:pt idx="52">
                  <c:v>43251</c:v>
                </c:pt>
                <c:pt idx="53">
                  <c:v>43281</c:v>
                </c:pt>
                <c:pt idx="54">
                  <c:v>43312</c:v>
                </c:pt>
                <c:pt idx="55">
                  <c:v>43343</c:v>
                </c:pt>
                <c:pt idx="56">
                  <c:v>43373</c:v>
                </c:pt>
                <c:pt idx="57">
                  <c:v>43404</c:v>
                </c:pt>
                <c:pt idx="58">
                  <c:v>43434</c:v>
                </c:pt>
                <c:pt idx="59">
                  <c:v>43465</c:v>
                </c:pt>
                <c:pt idx="60">
                  <c:v>43496</c:v>
                </c:pt>
                <c:pt idx="61">
                  <c:v>43524</c:v>
                </c:pt>
                <c:pt idx="62">
                  <c:v>43555</c:v>
                </c:pt>
                <c:pt idx="63">
                  <c:v>43585</c:v>
                </c:pt>
                <c:pt idx="64">
                  <c:v>43616</c:v>
                </c:pt>
                <c:pt idx="65">
                  <c:v>43646</c:v>
                </c:pt>
                <c:pt idx="66">
                  <c:v>43677</c:v>
                </c:pt>
                <c:pt idx="67">
                  <c:v>43708</c:v>
                </c:pt>
                <c:pt idx="68">
                  <c:v>43738</c:v>
                </c:pt>
                <c:pt idx="69">
                  <c:v>43769</c:v>
                </c:pt>
                <c:pt idx="70">
                  <c:v>43799</c:v>
                </c:pt>
                <c:pt idx="71">
                  <c:v>43830</c:v>
                </c:pt>
                <c:pt idx="72">
                  <c:v>43861</c:v>
                </c:pt>
                <c:pt idx="73">
                  <c:v>43889</c:v>
                </c:pt>
                <c:pt idx="74">
                  <c:v>43921</c:v>
                </c:pt>
                <c:pt idx="75">
                  <c:v>43951</c:v>
                </c:pt>
                <c:pt idx="76">
                  <c:v>43982</c:v>
                </c:pt>
                <c:pt idx="77">
                  <c:v>44012</c:v>
                </c:pt>
                <c:pt idx="78">
                  <c:v>44043</c:v>
                </c:pt>
                <c:pt idx="79">
                  <c:v>44074</c:v>
                </c:pt>
                <c:pt idx="80">
                  <c:v>44104</c:v>
                </c:pt>
                <c:pt idx="81">
                  <c:v>44135</c:v>
                </c:pt>
                <c:pt idx="82">
                  <c:v>44165</c:v>
                </c:pt>
                <c:pt idx="83">
                  <c:v>44196</c:v>
                </c:pt>
                <c:pt idx="84">
                  <c:v>44227</c:v>
                </c:pt>
                <c:pt idx="85">
                  <c:v>44255</c:v>
                </c:pt>
                <c:pt idx="86">
                  <c:v>44286</c:v>
                </c:pt>
                <c:pt idx="87">
                  <c:v>44316</c:v>
                </c:pt>
                <c:pt idx="88">
                  <c:v>44347</c:v>
                </c:pt>
                <c:pt idx="89">
                  <c:v>44377</c:v>
                </c:pt>
                <c:pt idx="90">
                  <c:v>44408</c:v>
                </c:pt>
                <c:pt idx="91">
                  <c:v>44438</c:v>
                </c:pt>
                <c:pt idx="92">
                  <c:v>44469</c:v>
                </c:pt>
                <c:pt idx="93">
                  <c:v>44500</c:v>
                </c:pt>
                <c:pt idx="94">
                  <c:v>44530</c:v>
                </c:pt>
                <c:pt idx="95">
                  <c:v>44561</c:v>
                </c:pt>
                <c:pt idx="96">
                  <c:v>44592</c:v>
                </c:pt>
                <c:pt idx="97">
                  <c:v>44620</c:v>
                </c:pt>
                <c:pt idx="98">
                  <c:v>44651</c:v>
                </c:pt>
                <c:pt idx="99">
                  <c:v>44681</c:v>
                </c:pt>
                <c:pt idx="100">
                  <c:v>44712</c:v>
                </c:pt>
                <c:pt idx="101">
                  <c:v>44742</c:v>
                </c:pt>
                <c:pt idx="102">
                  <c:v>44773</c:v>
                </c:pt>
                <c:pt idx="103">
                  <c:v>44803</c:v>
                </c:pt>
                <c:pt idx="104">
                  <c:v>44834</c:v>
                </c:pt>
                <c:pt idx="105">
                  <c:v>44865</c:v>
                </c:pt>
                <c:pt idx="106">
                  <c:v>44895</c:v>
                </c:pt>
                <c:pt idx="107">
                  <c:v>44926</c:v>
                </c:pt>
              </c:numCache>
            </c:numRef>
          </c:cat>
          <c:val>
            <c:numRef>
              <c:f>'PLE Financial History'!$C$115:$CU$115</c:f>
              <c:numCache>
                <c:formatCode>"$"#,##0</c:formatCode>
                <c:ptCount val="97"/>
                <c:pt idx="0">
                  <c:v>26217.55</c:v>
                </c:pt>
                <c:pt idx="1">
                  <c:v>25610.5</c:v>
                </c:pt>
                <c:pt idx="2">
                  <c:v>22992.850000000002</c:v>
                </c:pt>
                <c:pt idx="3">
                  <c:v>32106.78</c:v>
                </c:pt>
                <c:pt idx="4">
                  <c:v>33597.889999999992</c:v>
                </c:pt>
                <c:pt idx="5">
                  <c:v>33720.639999999992</c:v>
                </c:pt>
                <c:pt idx="6">
                  <c:v>32682.28999999999</c:v>
                </c:pt>
                <c:pt idx="7">
                  <c:v>32574.35999999999</c:v>
                </c:pt>
                <c:pt idx="8">
                  <c:v>32000.149999999987</c:v>
                </c:pt>
                <c:pt idx="9">
                  <c:v>29908.169999999987</c:v>
                </c:pt>
                <c:pt idx="10">
                  <c:v>28920.459999999985</c:v>
                </c:pt>
                <c:pt idx="11">
                  <c:v>28293.219999999987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3-4985-4185-9E09-03E9B4489CF3}"/>
            </c:ext>
          </c:extLst>
        </c:ser>
        <c:ser>
          <c:idx val="1"/>
          <c:order val="1"/>
          <c:tx>
            <c:strRef>
              <c:f>'PLE Financial History'!$C$104:$D$104</c:f>
              <c:strCache>
                <c:ptCount val="2"/>
                <c:pt idx="0">
                  <c:v>2015</c:v>
                </c:pt>
              </c:strCache>
              <c:extLst xmlns:c15="http://schemas.microsoft.com/office/drawing/2012/chart"/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'PLE Financial History'!$C$114:$DF$114</c:f>
              <c:numCache>
                <c:formatCode>m/d/yy;@</c:formatCode>
                <c:ptCount val="108"/>
                <c:pt idx="0">
                  <c:v>41669</c:v>
                </c:pt>
                <c:pt idx="1">
                  <c:v>41698</c:v>
                </c:pt>
                <c:pt idx="2">
                  <c:v>41729</c:v>
                </c:pt>
                <c:pt idx="3">
                  <c:v>41759</c:v>
                </c:pt>
                <c:pt idx="4">
                  <c:v>41790</c:v>
                </c:pt>
                <c:pt idx="5">
                  <c:v>41820</c:v>
                </c:pt>
                <c:pt idx="6">
                  <c:v>41851</c:v>
                </c:pt>
                <c:pt idx="7">
                  <c:v>41882</c:v>
                </c:pt>
                <c:pt idx="8">
                  <c:v>41912</c:v>
                </c:pt>
                <c:pt idx="9">
                  <c:v>41943</c:v>
                </c:pt>
                <c:pt idx="10">
                  <c:v>41973</c:v>
                </c:pt>
                <c:pt idx="11">
                  <c:v>42004</c:v>
                </c:pt>
                <c:pt idx="12">
                  <c:v>42035</c:v>
                </c:pt>
                <c:pt idx="13">
                  <c:v>42063</c:v>
                </c:pt>
                <c:pt idx="14">
                  <c:v>42094</c:v>
                </c:pt>
                <c:pt idx="15">
                  <c:v>42124</c:v>
                </c:pt>
                <c:pt idx="16">
                  <c:v>42155</c:v>
                </c:pt>
                <c:pt idx="17">
                  <c:v>42185</c:v>
                </c:pt>
                <c:pt idx="18">
                  <c:v>42216</c:v>
                </c:pt>
                <c:pt idx="19">
                  <c:v>42247</c:v>
                </c:pt>
                <c:pt idx="20">
                  <c:v>42277</c:v>
                </c:pt>
                <c:pt idx="21">
                  <c:v>42308</c:v>
                </c:pt>
                <c:pt idx="22">
                  <c:v>42338</c:v>
                </c:pt>
                <c:pt idx="23">
                  <c:v>42369</c:v>
                </c:pt>
                <c:pt idx="24">
                  <c:v>42400</c:v>
                </c:pt>
                <c:pt idx="25">
                  <c:v>42428</c:v>
                </c:pt>
                <c:pt idx="26">
                  <c:v>42460</c:v>
                </c:pt>
                <c:pt idx="27">
                  <c:v>42490</c:v>
                </c:pt>
                <c:pt idx="28">
                  <c:v>42521</c:v>
                </c:pt>
                <c:pt idx="29">
                  <c:v>42551</c:v>
                </c:pt>
                <c:pt idx="30">
                  <c:v>42582</c:v>
                </c:pt>
                <c:pt idx="31">
                  <c:v>42613</c:v>
                </c:pt>
                <c:pt idx="32">
                  <c:v>42643</c:v>
                </c:pt>
                <c:pt idx="33">
                  <c:v>42674</c:v>
                </c:pt>
                <c:pt idx="34">
                  <c:v>42704</c:v>
                </c:pt>
                <c:pt idx="35">
                  <c:v>42735</c:v>
                </c:pt>
                <c:pt idx="36">
                  <c:v>42766</c:v>
                </c:pt>
                <c:pt idx="37">
                  <c:v>42794</c:v>
                </c:pt>
                <c:pt idx="38">
                  <c:v>42825</c:v>
                </c:pt>
                <c:pt idx="39">
                  <c:v>42855</c:v>
                </c:pt>
                <c:pt idx="40">
                  <c:v>42886</c:v>
                </c:pt>
                <c:pt idx="41">
                  <c:v>42916</c:v>
                </c:pt>
                <c:pt idx="42">
                  <c:v>42947</c:v>
                </c:pt>
                <c:pt idx="43">
                  <c:v>42978</c:v>
                </c:pt>
                <c:pt idx="44">
                  <c:v>43008</c:v>
                </c:pt>
                <c:pt idx="45">
                  <c:v>43039</c:v>
                </c:pt>
                <c:pt idx="46">
                  <c:v>43069</c:v>
                </c:pt>
                <c:pt idx="47">
                  <c:v>43100</c:v>
                </c:pt>
                <c:pt idx="48">
                  <c:v>43131</c:v>
                </c:pt>
                <c:pt idx="49">
                  <c:v>43159</c:v>
                </c:pt>
                <c:pt idx="50">
                  <c:v>43190</c:v>
                </c:pt>
                <c:pt idx="51">
                  <c:v>43220</c:v>
                </c:pt>
                <c:pt idx="52">
                  <c:v>43251</c:v>
                </c:pt>
                <c:pt idx="53">
                  <c:v>43281</c:v>
                </c:pt>
                <c:pt idx="54">
                  <c:v>43312</c:v>
                </c:pt>
                <c:pt idx="55">
                  <c:v>43343</c:v>
                </c:pt>
                <c:pt idx="56">
                  <c:v>43373</c:v>
                </c:pt>
                <c:pt idx="57">
                  <c:v>43404</c:v>
                </c:pt>
                <c:pt idx="58">
                  <c:v>43434</c:v>
                </c:pt>
                <c:pt idx="59">
                  <c:v>43465</c:v>
                </c:pt>
                <c:pt idx="60">
                  <c:v>43496</c:v>
                </c:pt>
                <c:pt idx="61">
                  <c:v>43524</c:v>
                </c:pt>
                <c:pt idx="62">
                  <c:v>43555</c:v>
                </c:pt>
                <c:pt idx="63">
                  <c:v>43585</c:v>
                </c:pt>
                <c:pt idx="64">
                  <c:v>43616</c:v>
                </c:pt>
                <c:pt idx="65">
                  <c:v>43646</c:v>
                </c:pt>
                <c:pt idx="66">
                  <c:v>43677</c:v>
                </c:pt>
                <c:pt idx="67">
                  <c:v>43708</c:v>
                </c:pt>
                <c:pt idx="68">
                  <c:v>43738</c:v>
                </c:pt>
                <c:pt idx="69">
                  <c:v>43769</c:v>
                </c:pt>
                <c:pt idx="70">
                  <c:v>43799</c:v>
                </c:pt>
                <c:pt idx="71">
                  <c:v>43830</c:v>
                </c:pt>
                <c:pt idx="72">
                  <c:v>43861</c:v>
                </c:pt>
                <c:pt idx="73">
                  <c:v>43889</c:v>
                </c:pt>
                <c:pt idx="74">
                  <c:v>43921</c:v>
                </c:pt>
                <c:pt idx="75">
                  <c:v>43951</c:v>
                </c:pt>
                <c:pt idx="76">
                  <c:v>43982</c:v>
                </c:pt>
                <c:pt idx="77">
                  <c:v>44012</c:v>
                </c:pt>
                <c:pt idx="78">
                  <c:v>44043</c:v>
                </c:pt>
                <c:pt idx="79">
                  <c:v>44074</c:v>
                </c:pt>
                <c:pt idx="80">
                  <c:v>44104</c:v>
                </c:pt>
                <c:pt idx="81">
                  <c:v>44135</c:v>
                </c:pt>
                <c:pt idx="82">
                  <c:v>44165</c:v>
                </c:pt>
                <c:pt idx="83">
                  <c:v>44196</c:v>
                </c:pt>
                <c:pt idx="84">
                  <c:v>44227</c:v>
                </c:pt>
                <c:pt idx="85">
                  <c:v>44255</c:v>
                </c:pt>
                <c:pt idx="86">
                  <c:v>44286</c:v>
                </c:pt>
                <c:pt idx="87">
                  <c:v>44316</c:v>
                </c:pt>
                <c:pt idx="88">
                  <c:v>44347</c:v>
                </c:pt>
                <c:pt idx="89">
                  <c:v>44377</c:v>
                </c:pt>
                <c:pt idx="90">
                  <c:v>44408</c:v>
                </c:pt>
                <c:pt idx="91">
                  <c:v>44438</c:v>
                </c:pt>
                <c:pt idx="92">
                  <c:v>44469</c:v>
                </c:pt>
                <c:pt idx="93">
                  <c:v>44500</c:v>
                </c:pt>
                <c:pt idx="94">
                  <c:v>44530</c:v>
                </c:pt>
                <c:pt idx="95">
                  <c:v>44561</c:v>
                </c:pt>
                <c:pt idx="96">
                  <c:v>44592</c:v>
                </c:pt>
                <c:pt idx="97">
                  <c:v>44620</c:v>
                </c:pt>
                <c:pt idx="98">
                  <c:v>44651</c:v>
                </c:pt>
                <c:pt idx="99">
                  <c:v>44681</c:v>
                </c:pt>
                <c:pt idx="100">
                  <c:v>44712</c:v>
                </c:pt>
                <c:pt idx="101">
                  <c:v>44742</c:v>
                </c:pt>
                <c:pt idx="102">
                  <c:v>44773</c:v>
                </c:pt>
                <c:pt idx="103">
                  <c:v>44803</c:v>
                </c:pt>
                <c:pt idx="104">
                  <c:v>44834</c:v>
                </c:pt>
                <c:pt idx="105">
                  <c:v>44865</c:v>
                </c:pt>
                <c:pt idx="106">
                  <c:v>44895</c:v>
                </c:pt>
                <c:pt idx="107">
                  <c:v>44926</c:v>
                </c:pt>
              </c:numCache>
            </c:numRef>
          </c:cat>
          <c:val>
            <c:numRef>
              <c:f>'PLE Financial History'!$C$116:$CU$116</c:f>
              <c:numCache>
                <c:formatCode>"$"#,##0</c:formatCode>
                <c:ptCount val="97"/>
                <c:pt idx="11">
                  <c:v>28293.219999999987</c:v>
                </c:pt>
                <c:pt idx="12">
                  <c:v>28293.49</c:v>
                </c:pt>
                <c:pt idx="13">
                  <c:v>28165.210000000003</c:v>
                </c:pt>
                <c:pt idx="14">
                  <c:v>26607.550000000003</c:v>
                </c:pt>
                <c:pt idx="15">
                  <c:v>37348.320000000007</c:v>
                </c:pt>
                <c:pt idx="16">
                  <c:v>36299.810000000005</c:v>
                </c:pt>
                <c:pt idx="17">
                  <c:v>35592.200000000004</c:v>
                </c:pt>
                <c:pt idx="18">
                  <c:v>35063</c:v>
                </c:pt>
                <c:pt idx="19">
                  <c:v>33137</c:v>
                </c:pt>
                <c:pt idx="20">
                  <c:v>32595.63</c:v>
                </c:pt>
                <c:pt idx="21">
                  <c:v>26470.730000000003</c:v>
                </c:pt>
                <c:pt idx="22">
                  <c:v>25951.68</c:v>
                </c:pt>
                <c:pt idx="23">
                  <c:v>25332.04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4-4985-4185-9E09-03E9B4489CF3}"/>
            </c:ext>
          </c:extLst>
        </c:ser>
        <c:ser>
          <c:idx val="2"/>
          <c:order val="2"/>
          <c:tx>
            <c:strRef>
              <c:f>'PLE Financial History'!$C$105</c:f>
              <c:strCache>
                <c:ptCount val="1"/>
                <c:pt idx="0">
                  <c:v>2016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'PLE Financial History'!$C$114:$DF$114</c:f>
              <c:numCache>
                <c:formatCode>m/d/yy;@</c:formatCode>
                <c:ptCount val="108"/>
                <c:pt idx="0">
                  <c:v>41669</c:v>
                </c:pt>
                <c:pt idx="1">
                  <c:v>41698</c:v>
                </c:pt>
                <c:pt idx="2">
                  <c:v>41729</c:v>
                </c:pt>
                <c:pt idx="3">
                  <c:v>41759</c:v>
                </c:pt>
                <c:pt idx="4">
                  <c:v>41790</c:v>
                </c:pt>
                <c:pt idx="5">
                  <c:v>41820</c:v>
                </c:pt>
                <c:pt idx="6">
                  <c:v>41851</c:v>
                </c:pt>
                <c:pt idx="7">
                  <c:v>41882</c:v>
                </c:pt>
                <c:pt idx="8">
                  <c:v>41912</c:v>
                </c:pt>
                <c:pt idx="9">
                  <c:v>41943</c:v>
                </c:pt>
                <c:pt idx="10">
                  <c:v>41973</c:v>
                </c:pt>
                <c:pt idx="11">
                  <c:v>42004</c:v>
                </c:pt>
                <c:pt idx="12">
                  <c:v>42035</c:v>
                </c:pt>
                <c:pt idx="13">
                  <c:v>42063</c:v>
                </c:pt>
                <c:pt idx="14">
                  <c:v>42094</c:v>
                </c:pt>
                <c:pt idx="15">
                  <c:v>42124</c:v>
                </c:pt>
                <c:pt idx="16">
                  <c:v>42155</c:v>
                </c:pt>
                <c:pt idx="17">
                  <c:v>42185</c:v>
                </c:pt>
                <c:pt idx="18">
                  <c:v>42216</c:v>
                </c:pt>
                <c:pt idx="19">
                  <c:v>42247</c:v>
                </c:pt>
                <c:pt idx="20">
                  <c:v>42277</c:v>
                </c:pt>
                <c:pt idx="21">
                  <c:v>42308</c:v>
                </c:pt>
                <c:pt idx="22">
                  <c:v>42338</c:v>
                </c:pt>
                <c:pt idx="23">
                  <c:v>42369</c:v>
                </c:pt>
                <c:pt idx="24">
                  <c:v>42400</c:v>
                </c:pt>
                <c:pt idx="25">
                  <c:v>42428</c:v>
                </c:pt>
                <c:pt idx="26">
                  <c:v>42460</c:v>
                </c:pt>
                <c:pt idx="27">
                  <c:v>42490</c:v>
                </c:pt>
                <c:pt idx="28">
                  <c:v>42521</c:v>
                </c:pt>
                <c:pt idx="29">
                  <c:v>42551</c:v>
                </c:pt>
                <c:pt idx="30">
                  <c:v>42582</c:v>
                </c:pt>
                <c:pt idx="31">
                  <c:v>42613</c:v>
                </c:pt>
                <c:pt idx="32">
                  <c:v>42643</c:v>
                </c:pt>
                <c:pt idx="33">
                  <c:v>42674</c:v>
                </c:pt>
                <c:pt idx="34">
                  <c:v>42704</c:v>
                </c:pt>
                <c:pt idx="35">
                  <c:v>42735</c:v>
                </c:pt>
                <c:pt idx="36">
                  <c:v>42766</c:v>
                </c:pt>
                <c:pt idx="37">
                  <c:v>42794</c:v>
                </c:pt>
                <c:pt idx="38">
                  <c:v>42825</c:v>
                </c:pt>
                <c:pt idx="39">
                  <c:v>42855</c:v>
                </c:pt>
                <c:pt idx="40">
                  <c:v>42886</c:v>
                </c:pt>
                <c:pt idx="41">
                  <c:v>42916</c:v>
                </c:pt>
                <c:pt idx="42">
                  <c:v>42947</c:v>
                </c:pt>
                <c:pt idx="43">
                  <c:v>42978</c:v>
                </c:pt>
                <c:pt idx="44">
                  <c:v>43008</c:v>
                </c:pt>
                <c:pt idx="45">
                  <c:v>43039</c:v>
                </c:pt>
                <c:pt idx="46">
                  <c:v>43069</c:v>
                </c:pt>
                <c:pt idx="47">
                  <c:v>43100</c:v>
                </c:pt>
                <c:pt idx="48">
                  <c:v>43131</c:v>
                </c:pt>
                <c:pt idx="49">
                  <c:v>43159</c:v>
                </c:pt>
                <c:pt idx="50">
                  <c:v>43190</c:v>
                </c:pt>
                <c:pt idx="51">
                  <c:v>43220</c:v>
                </c:pt>
                <c:pt idx="52">
                  <c:v>43251</c:v>
                </c:pt>
                <c:pt idx="53">
                  <c:v>43281</c:v>
                </c:pt>
                <c:pt idx="54">
                  <c:v>43312</c:v>
                </c:pt>
                <c:pt idx="55">
                  <c:v>43343</c:v>
                </c:pt>
                <c:pt idx="56">
                  <c:v>43373</c:v>
                </c:pt>
                <c:pt idx="57">
                  <c:v>43404</c:v>
                </c:pt>
                <c:pt idx="58">
                  <c:v>43434</c:v>
                </c:pt>
                <c:pt idx="59">
                  <c:v>43465</c:v>
                </c:pt>
                <c:pt idx="60">
                  <c:v>43496</c:v>
                </c:pt>
                <c:pt idx="61">
                  <c:v>43524</c:v>
                </c:pt>
                <c:pt idx="62">
                  <c:v>43555</c:v>
                </c:pt>
                <c:pt idx="63">
                  <c:v>43585</c:v>
                </c:pt>
                <c:pt idx="64">
                  <c:v>43616</c:v>
                </c:pt>
                <c:pt idx="65">
                  <c:v>43646</c:v>
                </c:pt>
                <c:pt idx="66">
                  <c:v>43677</c:v>
                </c:pt>
                <c:pt idx="67">
                  <c:v>43708</c:v>
                </c:pt>
                <c:pt idx="68">
                  <c:v>43738</c:v>
                </c:pt>
                <c:pt idx="69">
                  <c:v>43769</c:v>
                </c:pt>
                <c:pt idx="70">
                  <c:v>43799</c:v>
                </c:pt>
                <c:pt idx="71">
                  <c:v>43830</c:v>
                </c:pt>
                <c:pt idx="72">
                  <c:v>43861</c:v>
                </c:pt>
                <c:pt idx="73">
                  <c:v>43889</c:v>
                </c:pt>
                <c:pt idx="74">
                  <c:v>43921</c:v>
                </c:pt>
                <c:pt idx="75">
                  <c:v>43951</c:v>
                </c:pt>
                <c:pt idx="76">
                  <c:v>43982</c:v>
                </c:pt>
                <c:pt idx="77">
                  <c:v>44012</c:v>
                </c:pt>
                <c:pt idx="78">
                  <c:v>44043</c:v>
                </c:pt>
                <c:pt idx="79">
                  <c:v>44074</c:v>
                </c:pt>
                <c:pt idx="80">
                  <c:v>44104</c:v>
                </c:pt>
                <c:pt idx="81">
                  <c:v>44135</c:v>
                </c:pt>
                <c:pt idx="82">
                  <c:v>44165</c:v>
                </c:pt>
                <c:pt idx="83">
                  <c:v>44196</c:v>
                </c:pt>
                <c:pt idx="84">
                  <c:v>44227</c:v>
                </c:pt>
                <c:pt idx="85">
                  <c:v>44255</c:v>
                </c:pt>
                <c:pt idx="86">
                  <c:v>44286</c:v>
                </c:pt>
                <c:pt idx="87">
                  <c:v>44316</c:v>
                </c:pt>
                <c:pt idx="88">
                  <c:v>44347</c:v>
                </c:pt>
                <c:pt idx="89">
                  <c:v>44377</c:v>
                </c:pt>
                <c:pt idx="90">
                  <c:v>44408</c:v>
                </c:pt>
                <c:pt idx="91">
                  <c:v>44438</c:v>
                </c:pt>
                <c:pt idx="92">
                  <c:v>44469</c:v>
                </c:pt>
                <c:pt idx="93">
                  <c:v>44500</c:v>
                </c:pt>
                <c:pt idx="94">
                  <c:v>44530</c:v>
                </c:pt>
                <c:pt idx="95">
                  <c:v>44561</c:v>
                </c:pt>
                <c:pt idx="96">
                  <c:v>44592</c:v>
                </c:pt>
                <c:pt idx="97">
                  <c:v>44620</c:v>
                </c:pt>
                <c:pt idx="98">
                  <c:v>44651</c:v>
                </c:pt>
                <c:pt idx="99">
                  <c:v>44681</c:v>
                </c:pt>
                <c:pt idx="100">
                  <c:v>44712</c:v>
                </c:pt>
                <c:pt idx="101">
                  <c:v>44742</c:v>
                </c:pt>
                <c:pt idx="102">
                  <c:v>44773</c:v>
                </c:pt>
                <c:pt idx="103">
                  <c:v>44803</c:v>
                </c:pt>
                <c:pt idx="104">
                  <c:v>44834</c:v>
                </c:pt>
                <c:pt idx="105">
                  <c:v>44865</c:v>
                </c:pt>
                <c:pt idx="106">
                  <c:v>44895</c:v>
                </c:pt>
                <c:pt idx="107">
                  <c:v>44926</c:v>
                </c:pt>
              </c:numCache>
            </c:numRef>
          </c:cat>
          <c:val>
            <c:numRef>
              <c:f>'PLE Financial History'!$C$117:$CU$117</c:f>
              <c:numCache>
                <c:formatCode>"$"#,##0</c:formatCode>
                <c:ptCount val="97"/>
                <c:pt idx="23">
                  <c:v>25332.04</c:v>
                </c:pt>
                <c:pt idx="24">
                  <c:v>13857.230000000003</c:v>
                </c:pt>
                <c:pt idx="25">
                  <c:v>13190.530000000002</c:v>
                </c:pt>
                <c:pt idx="26">
                  <c:v>17397.750000000004</c:v>
                </c:pt>
                <c:pt idx="27">
                  <c:v>23078.600000000002</c:v>
                </c:pt>
                <c:pt idx="28">
                  <c:v>23661.850000000002</c:v>
                </c:pt>
                <c:pt idx="29">
                  <c:v>23593.770000000004</c:v>
                </c:pt>
                <c:pt idx="30">
                  <c:v>22945.120000000003</c:v>
                </c:pt>
                <c:pt idx="31">
                  <c:v>22203.530000000002</c:v>
                </c:pt>
                <c:pt idx="32">
                  <c:v>21554.880000000001</c:v>
                </c:pt>
                <c:pt idx="33">
                  <c:v>20838.02</c:v>
                </c:pt>
                <c:pt idx="34">
                  <c:v>20524.690000000002</c:v>
                </c:pt>
                <c:pt idx="35">
                  <c:v>19783.100000000002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5-4985-4185-9E09-03E9B4489CF3}"/>
            </c:ext>
          </c:extLst>
        </c:ser>
        <c:ser>
          <c:idx val="3"/>
          <c:order val="3"/>
          <c:tx>
            <c:strRef>
              <c:f>'PLE Financial History'!$C$106:$D$106</c:f>
              <c:strCache>
                <c:ptCount val="2"/>
                <c:pt idx="0">
                  <c:v>2017</c:v>
                </c:pt>
              </c:strCache>
              <c:extLst xmlns:c15="http://schemas.microsoft.com/office/drawing/2012/chart"/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'PLE Financial History'!$C$114:$DF$114</c:f>
              <c:numCache>
                <c:formatCode>m/d/yy;@</c:formatCode>
                <c:ptCount val="108"/>
                <c:pt idx="0">
                  <c:v>41669</c:v>
                </c:pt>
                <c:pt idx="1">
                  <c:v>41698</c:v>
                </c:pt>
                <c:pt idx="2">
                  <c:v>41729</c:v>
                </c:pt>
                <c:pt idx="3">
                  <c:v>41759</c:v>
                </c:pt>
                <c:pt idx="4">
                  <c:v>41790</c:v>
                </c:pt>
                <c:pt idx="5">
                  <c:v>41820</c:v>
                </c:pt>
                <c:pt idx="6">
                  <c:v>41851</c:v>
                </c:pt>
                <c:pt idx="7">
                  <c:v>41882</c:v>
                </c:pt>
                <c:pt idx="8">
                  <c:v>41912</c:v>
                </c:pt>
                <c:pt idx="9">
                  <c:v>41943</c:v>
                </c:pt>
                <c:pt idx="10">
                  <c:v>41973</c:v>
                </c:pt>
                <c:pt idx="11">
                  <c:v>42004</c:v>
                </c:pt>
                <c:pt idx="12">
                  <c:v>42035</c:v>
                </c:pt>
                <c:pt idx="13">
                  <c:v>42063</c:v>
                </c:pt>
                <c:pt idx="14">
                  <c:v>42094</c:v>
                </c:pt>
                <c:pt idx="15">
                  <c:v>42124</c:v>
                </c:pt>
                <c:pt idx="16">
                  <c:v>42155</c:v>
                </c:pt>
                <c:pt idx="17">
                  <c:v>42185</c:v>
                </c:pt>
                <c:pt idx="18">
                  <c:v>42216</c:v>
                </c:pt>
                <c:pt idx="19">
                  <c:v>42247</c:v>
                </c:pt>
                <c:pt idx="20">
                  <c:v>42277</c:v>
                </c:pt>
                <c:pt idx="21">
                  <c:v>42308</c:v>
                </c:pt>
                <c:pt idx="22">
                  <c:v>42338</c:v>
                </c:pt>
                <c:pt idx="23">
                  <c:v>42369</c:v>
                </c:pt>
                <c:pt idx="24">
                  <c:v>42400</c:v>
                </c:pt>
                <c:pt idx="25">
                  <c:v>42428</c:v>
                </c:pt>
                <c:pt idx="26">
                  <c:v>42460</c:v>
                </c:pt>
                <c:pt idx="27">
                  <c:v>42490</c:v>
                </c:pt>
                <c:pt idx="28">
                  <c:v>42521</c:v>
                </c:pt>
                <c:pt idx="29">
                  <c:v>42551</c:v>
                </c:pt>
                <c:pt idx="30">
                  <c:v>42582</c:v>
                </c:pt>
                <c:pt idx="31">
                  <c:v>42613</c:v>
                </c:pt>
                <c:pt idx="32">
                  <c:v>42643</c:v>
                </c:pt>
                <c:pt idx="33">
                  <c:v>42674</c:v>
                </c:pt>
                <c:pt idx="34">
                  <c:v>42704</c:v>
                </c:pt>
                <c:pt idx="35">
                  <c:v>42735</c:v>
                </c:pt>
                <c:pt idx="36">
                  <c:v>42766</c:v>
                </c:pt>
                <c:pt idx="37">
                  <c:v>42794</c:v>
                </c:pt>
                <c:pt idx="38">
                  <c:v>42825</c:v>
                </c:pt>
                <c:pt idx="39">
                  <c:v>42855</c:v>
                </c:pt>
                <c:pt idx="40">
                  <c:v>42886</c:v>
                </c:pt>
                <c:pt idx="41">
                  <c:v>42916</c:v>
                </c:pt>
                <c:pt idx="42">
                  <c:v>42947</c:v>
                </c:pt>
                <c:pt idx="43">
                  <c:v>42978</c:v>
                </c:pt>
                <c:pt idx="44">
                  <c:v>43008</c:v>
                </c:pt>
                <c:pt idx="45">
                  <c:v>43039</c:v>
                </c:pt>
                <c:pt idx="46">
                  <c:v>43069</c:v>
                </c:pt>
                <c:pt idx="47">
                  <c:v>43100</c:v>
                </c:pt>
                <c:pt idx="48">
                  <c:v>43131</c:v>
                </c:pt>
                <c:pt idx="49">
                  <c:v>43159</c:v>
                </c:pt>
                <c:pt idx="50">
                  <c:v>43190</c:v>
                </c:pt>
                <c:pt idx="51">
                  <c:v>43220</c:v>
                </c:pt>
                <c:pt idx="52">
                  <c:v>43251</c:v>
                </c:pt>
                <c:pt idx="53">
                  <c:v>43281</c:v>
                </c:pt>
                <c:pt idx="54">
                  <c:v>43312</c:v>
                </c:pt>
                <c:pt idx="55">
                  <c:v>43343</c:v>
                </c:pt>
                <c:pt idx="56">
                  <c:v>43373</c:v>
                </c:pt>
                <c:pt idx="57">
                  <c:v>43404</c:v>
                </c:pt>
                <c:pt idx="58">
                  <c:v>43434</c:v>
                </c:pt>
                <c:pt idx="59">
                  <c:v>43465</c:v>
                </c:pt>
                <c:pt idx="60">
                  <c:v>43496</c:v>
                </c:pt>
                <c:pt idx="61">
                  <c:v>43524</c:v>
                </c:pt>
                <c:pt idx="62">
                  <c:v>43555</c:v>
                </c:pt>
                <c:pt idx="63">
                  <c:v>43585</c:v>
                </c:pt>
                <c:pt idx="64">
                  <c:v>43616</c:v>
                </c:pt>
                <c:pt idx="65">
                  <c:v>43646</c:v>
                </c:pt>
                <c:pt idx="66">
                  <c:v>43677</c:v>
                </c:pt>
                <c:pt idx="67">
                  <c:v>43708</c:v>
                </c:pt>
                <c:pt idx="68">
                  <c:v>43738</c:v>
                </c:pt>
                <c:pt idx="69">
                  <c:v>43769</c:v>
                </c:pt>
                <c:pt idx="70">
                  <c:v>43799</c:v>
                </c:pt>
                <c:pt idx="71">
                  <c:v>43830</c:v>
                </c:pt>
                <c:pt idx="72">
                  <c:v>43861</c:v>
                </c:pt>
                <c:pt idx="73">
                  <c:v>43889</c:v>
                </c:pt>
                <c:pt idx="74">
                  <c:v>43921</c:v>
                </c:pt>
                <c:pt idx="75">
                  <c:v>43951</c:v>
                </c:pt>
                <c:pt idx="76">
                  <c:v>43982</c:v>
                </c:pt>
                <c:pt idx="77">
                  <c:v>44012</c:v>
                </c:pt>
                <c:pt idx="78">
                  <c:v>44043</c:v>
                </c:pt>
                <c:pt idx="79">
                  <c:v>44074</c:v>
                </c:pt>
                <c:pt idx="80">
                  <c:v>44104</c:v>
                </c:pt>
                <c:pt idx="81">
                  <c:v>44135</c:v>
                </c:pt>
                <c:pt idx="82">
                  <c:v>44165</c:v>
                </c:pt>
                <c:pt idx="83">
                  <c:v>44196</c:v>
                </c:pt>
                <c:pt idx="84">
                  <c:v>44227</c:v>
                </c:pt>
                <c:pt idx="85">
                  <c:v>44255</c:v>
                </c:pt>
                <c:pt idx="86">
                  <c:v>44286</c:v>
                </c:pt>
                <c:pt idx="87">
                  <c:v>44316</c:v>
                </c:pt>
                <c:pt idx="88">
                  <c:v>44347</c:v>
                </c:pt>
                <c:pt idx="89">
                  <c:v>44377</c:v>
                </c:pt>
                <c:pt idx="90">
                  <c:v>44408</c:v>
                </c:pt>
                <c:pt idx="91">
                  <c:v>44438</c:v>
                </c:pt>
                <c:pt idx="92">
                  <c:v>44469</c:v>
                </c:pt>
                <c:pt idx="93">
                  <c:v>44500</c:v>
                </c:pt>
                <c:pt idx="94">
                  <c:v>44530</c:v>
                </c:pt>
                <c:pt idx="95">
                  <c:v>44561</c:v>
                </c:pt>
                <c:pt idx="96">
                  <c:v>44592</c:v>
                </c:pt>
                <c:pt idx="97">
                  <c:v>44620</c:v>
                </c:pt>
                <c:pt idx="98">
                  <c:v>44651</c:v>
                </c:pt>
                <c:pt idx="99">
                  <c:v>44681</c:v>
                </c:pt>
                <c:pt idx="100">
                  <c:v>44712</c:v>
                </c:pt>
                <c:pt idx="101">
                  <c:v>44742</c:v>
                </c:pt>
                <c:pt idx="102">
                  <c:v>44773</c:v>
                </c:pt>
                <c:pt idx="103">
                  <c:v>44803</c:v>
                </c:pt>
                <c:pt idx="104">
                  <c:v>44834</c:v>
                </c:pt>
                <c:pt idx="105">
                  <c:v>44865</c:v>
                </c:pt>
                <c:pt idx="106">
                  <c:v>44895</c:v>
                </c:pt>
                <c:pt idx="107">
                  <c:v>44926</c:v>
                </c:pt>
              </c:numCache>
            </c:numRef>
          </c:cat>
          <c:val>
            <c:numRef>
              <c:f>'PLE Financial History'!$C$118:$CU$118</c:f>
              <c:numCache>
                <c:formatCode>"$"#,##0</c:formatCode>
                <c:ptCount val="97"/>
                <c:pt idx="35">
                  <c:v>19783.100000000002</c:v>
                </c:pt>
                <c:pt idx="36">
                  <c:v>19154.769999999997</c:v>
                </c:pt>
                <c:pt idx="37">
                  <c:v>18783.179999999997</c:v>
                </c:pt>
                <c:pt idx="38">
                  <c:v>22614.929999999997</c:v>
                </c:pt>
                <c:pt idx="39">
                  <c:v>27101.879999999997</c:v>
                </c:pt>
                <c:pt idx="40">
                  <c:v>27220.92</c:v>
                </c:pt>
                <c:pt idx="41">
                  <c:v>26831.109999999997</c:v>
                </c:pt>
                <c:pt idx="42">
                  <c:v>26181.67</c:v>
                </c:pt>
                <c:pt idx="43">
                  <c:v>25367.949999999997</c:v>
                </c:pt>
                <c:pt idx="44">
                  <c:v>24728.67</c:v>
                </c:pt>
                <c:pt idx="45">
                  <c:v>24676.26</c:v>
                </c:pt>
                <c:pt idx="46">
                  <c:v>23444.019999999997</c:v>
                </c:pt>
                <c:pt idx="47">
                  <c:v>23160.1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6-4985-4185-9E09-03E9B4489CF3}"/>
            </c:ext>
          </c:extLst>
        </c:ser>
        <c:ser>
          <c:idx val="4"/>
          <c:order val="4"/>
          <c:tx>
            <c:strRef>
              <c:f>'PLE Financial History'!$C$107:$D$107</c:f>
              <c:strCache>
                <c:ptCount val="2"/>
                <c:pt idx="0">
                  <c:v>2018</c:v>
                </c:pt>
              </c:strCache>
            </c:strRef>
          </c:tx>
          <c:spPr>
            <a:ln w="28575" cap="rnd">
              <a:solidFill>
                <a:srgbClr val="FFFF00"/>
              </a:solidFill>
              <a:round/>
            </a:ln>
            <a:effectLst/>
          </c:spPr>
          <c:marker>
            <c:symbol val="none"/>
          </c:marker>
          <c:cat>
            <c:numRef>
              <c:f>'PLE Financial History'!$C$114:$DF$114</c:f>
              <c:numCache>
                <c:formatCode>m/d/yy;@</c:formatCode>
                <c:ptCount val="108"/>
                <c:pt idx="0">
                  <c:v>41669</c:v>
                </c:pt>
                <c:pt idx="1">
                  <c:v>41698</c:v>
                </c:pt>
                <c:pt idx="2">
                  <c:v>41729</c:v>
                </c:pt>
                <c:pt idx="3">
                  <c:v>41759</c:v>
                </c:pt>
                <c:pt idx="4">
                  <c:v>41790</c:v>
                </c:pt>
                <c:pt idx="5">
                  <c:v>41820</c:v>
                </c:pt>
                <c:pt idx="6">
                  <c:v>41851</c:v>
                </c:pt>
                <c:pt idx="7">
                  <c:v>41882</c:v>
                </c:pt>
                <c:pt idx="8">
                  <c:v>41912</c:v>
                </c:pt>
                <c:pt idx="9">
                  <c:v>41943</c:v>
                </c:pt>
                <c:pt idx="10">
                  <c:v>41973</c:v>
                </c:pt>
                <c:pt idx="11">
                  <c:v>42004</c:v>
                </c:pt>
                <c:pt idx="12">
                  <c:v>42035</c:v>
                </c:pt>
                <c:pt idx="13">
                  <c:v>42063</c:v>
                </c:pt>
                <c:pt idx="14">
                  <c:v>42094</c:v>
                </c:pt>
                <c:pt idx="15">
                  <c:v>42124</c:v>
                </c:pt>
                <c:pt idx="16">
                  <c:v>42155</c:v>
                </c:pt>
                <c:pt idx="17">
                  <c:v>42185</c:v>
                </c:pt>
                <c:pt idx="18">
                  <c:v>42216</c:v>
                </c:pt>
                <c:pt idx="19">
                  <c:v>42247</c:v>
                </c:pt>
                <c:pt idx="20">
                  <c:v>42277</c:v>
                </c:pt>
                <c:pt idx="21">
                  <c:v>42308</c:v>
                </c:pt>
                <c:pt idx="22">
                  <c:v>42338</c:v>
                </c:pt>
                <c:pt idx="23">
                  <c:v>42369</c:v>
                </c:pt>
                <c:pt idx="24">
                  <c:v>42400</c:v>
                </c:pt>
                <c:pt idx="25">
                  <c:v>42428</c:v>
                </c:pt>
                <c:pt idx="26">
                  <c:v>42460</c:v>
                </c:pt>
                <c:pt idx="27">
                  <c:v>42490</c:v>
                </c:pt>
                <c:pt idx="28">
                  <c:v>42521</c:v>
                </c:pt>
                <c:pt idx="29">
                  <c:v>42551</c:v>
                </c:pt>
                <c:pt idx="30">
                  <c:v>42582</c:v>
                </c:pt>
                <c:pt idx="31">
                  <c:v>42613</c:v>
                </c:pt>
                <c:pt idx="32">
                  <c:v>42643</c:v>
                </c:pt>
                <c:pt idx="33">
                  <c:v>42674</c:v>
                </c:pt>
                <c:pt idx="34">
                  <c:v>42704</c:v>
                </c:pt>
                <c:pt idx="35">
                  <c:v>42735</c:v>
                </c:pt>
                <c:pt idx="36">
                  <c:v>42766</c:v>
                </c:pt>
                <c:pt idx="37">
                  <c:v>42794</c:v>
                </c:pt>
                <c:pt idx="38">
                  <c:v>42825</c:v>
                </c:pt>
                <c:pt idx="39">
                  <c:v>42855</c:v>
                </c:pt>
                <c:pt idx="40">
                  <c:v>42886</c:v>
                </c:pt>
                <c:pt idx="41">
                  <c:v>42916</c:v>
                </c:pt>
                <c:pt idx="42">
                  <c:v>42947</c:v>
                </c:pt>
                <c:pt idx="43">
                  <c:v>42978</c:v>
                </c:pt>
                <c:pt idx="44">
                  <c:v>43008</c:v>
                </c:pt>
                <c:pt idx="45">
                  <c:v>43039</c:v>
                </c:pt>
                <c:pt idx="46">
                  <c:v>43069</c:v>
                </c:pt>
                <c:pt idx="47">
                  <c:v>43100</c:v>
                </c:pt>
                <c:pt idx="48">
                  <c:v>43131</c:v>
                </c:pt>
                <c:pt idx="49">
                  <c:v>43159</c:v>
                </c:pt>
                <c:pt idx="50">
                  <c:v>43190</c:v>
                </c:pt>
                <c:pt idx="51">
                  <c:v>43220</c:v>
                </c:pt>
                <c:pt idx="52">
                  <c:v>43251</c:v>
                </c:pt>
                <c:pt idx="53">
                  <c:v>43281</c:v>
                </c:pt>
                <c:pt idx="54">
                  <c:v>43312</c:v>
                </c:pt>
                <c:pt idx="55">
                  <c:v>43343</c:v>
                </c:pt>
                <c:pt idx="56">
                  <c:v>43373</c:v>
                </c:pt>
                <c:pt idx="57">
                  <c:v>43404</c:v>
                </c:pt>
                <c:pt idx="58">
                  <c:v>43434</c:v>
                </c:pt>
                <c:pt idx="59">
                  <c:v>43465</c:v>
                </c:pt>
                <c:pt idx="60">
                  <c:v>43496</c:v>
                </c:pt>
                <c:pt idx="61">
                  <c:v>43524</c:v>
                </c:pt>
                <c:pt idx="62">
                  <c:v>43555</c:v>
                </c:pt>
                <c:pt idx="63">
                  <c:v>43585</c:v>
                </c:pt>
                <c:pt idx="64">
                  <c:v>43616</c:v>
                </c:pt>
                <c:pt idx="65">
                  <c:v>43646</c:v>
                </c:pt>
                <c:pt idx="66">
                  <c:v>43677</c:v>
                </c:pt>
                <c:pt idx="67">
                  <c:v>43708</c:v>
                </c:pt>
                <c:pt idx="68">
                  <c:v>43738</c:v>
                </c:pt>
                <c:pt idx="69">
                  <c:v>43769</c:v>
                </c:pt>
                <c:pt idx="70">
                  <c:v>43799</c:v>
                </c:pt>
                <c:pt idx="71">
                  <c:v>43830</c:v>
                </c:pt>
                <c:pt idx="72">
                  <c:v>43861</c:v>
                </c:pt>
                <c:pt idx="73">
                  <c:v>43889</c:v>
                </c:pt>
                <c:pt idx="74">
                  <c:v>43921</c:v>
                </c:pt>
                <c:pt idx="75">
                  <c:v>43951</c:v>
                </c:pt>
                <c:pt idx="76">
                  <c:v>43982</c:v>
                </c:pt>
                <c:pt idx="77">
                  <c:v>44012</c:v>
                </c:pt>
                <c:pt idx="78">
                  <c:v>44043</c:v>
                </c:pt>
                <c:pt idx="79">
                  <c:v>44074</c:v>
                </c:pt>
                <c:pt idx="80">
                  <c:v>44104</c:v>
                </c:pt>
                <c:pt idx="81">
                  <c:v>44135</c:v>
                </c:pt>
                <c:pt idx="82">
                  <c:v>44165</c:v>
                </c:pt>
                <c:pt idx="83">
                  <c:v>44196</c:v>
                </c:pt>
                <c:pt idx="84">
                  <c:v>44227</c:v>
                </c:pt>
                <c:pt idx="85">
                  <c:v>44255</c:v>
                </c:pt>
                <c:pt idx="86">
                  <c:v>44286</c:v>
                </c:pt>
                <c:pt idx="87">
                  <c:v>44316</c:v>
                </c:pt>
                <c:pt idx="88">
                  <c:v>44347</c:v>
                </c:pt>
                <c:pt idx="89">
                  <c:v>44377</c:v>
                </c:pt>
                <c:pt idx="90">
                  <c:v>44408</c:v>
                </c:pt>
                <c:pt idx="91">
                  <c:v>44438</c:v>
                </c:pt>
                <c:pt idx="92">
                  <c:v>44469</c:v>
                </c:pt>
                <c:pt idx="93">
                  <c:v>44500</c:v>
                </c:pt>
                <c:pt idx="94">
                  <c:v>44530</c:v>
                </c:pt>
                <c:pt idx="95">
                  <c:v>44561</c:v>
                </c:pt>
                <c:pt idx="96">
                  <c:v>44592</c:v>
                </c:pt>
                <c:pt idx="97">
                  <c:v>44620</c:v>
                </c:pt>
                <c:pt idx="98">
                  <c:v>44651</c:v>
                </c:pt>
                <c:pt idx="99">
                  <c:v>44681</c:v>
                </c:pt>
                <c:pt idx="100">
                  <c:v>44712</c:v>
                </c:pt>
                <c:pt idx="101">
                  <c:v>44742</c:v>
                </c:pt>
                <c:pt idx="102">
                  <c:v>44773</c:v>
                </c:pt>
                <c:pt idx="103">
                  <c:v>44803</c:v>
                </c:pt>
                <c:pt idx="104">
                  <c:v>44834</c:v>
                </c:pt>
                <c:pt idx="105">
                  <c:v>44865</c:v>
                </c:pt>
                <c:pt idx="106">
                  <c:v>44895</c:v>
                </c:pt>
                <c:pt idx="107">
                  <c:v>44926</c:v>
                </c:pt>
              </c:numCache>
            </c:numRef>
          </c:cat>
          <c:val>
            <c:numRef>
              <c:f>'PLE Financial History'!$C$119:$CU$119</c:f>
              <c:numCache>
                <c:formatCode>"$"#,##0</c:formatCode>
                <c:ptCount val="97"/>
                <c:pt idx="47">
                  <c:v>23160.1</c:v>
                </c:pt>
                <c:pt idx="48">
                  <c:v>23101.599999999999</c:v>
                </c:pt>
                <c:pt idx="49">
                  <c:v>21853.059999999998</c:v>
                </c:pt>
                <c:pt idx="50">
                  <c:v>20425.819999999996</c:v>
                </c:pt>
                <c:pt idx="51">
                  <c:v>26154.379999999997</c:v>
                </c:pt>
                <c:pt idx="52">
                  <c:v>25841.51</c:v>
                </c:pt>
                <c:pt idx="53">
                  <c:v>25153.64</c:v>
                </c:pt>
                <c:pt idx="54">
                  <c:v>25091.14</c:v>
                </c:pt>
                <c:pt idx="55">
                  <c:v>24946.720000000001</c:v>
                </c:pt>
                <c:pt idx="56">
                  <c:v>23018.720000000001</c:v>
                </c:pt>
                <c:pt idx="57">
                  <c:v>21341.22</c:v>
                </c:pt>
                <c:pt idx="58">
                  <c:v>21607.32</c:v>
                </c:pt>
                <c:pt idx="59">
                  <c:v>23374.07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85-4185-9E09-03E9B4489CF3}"/>
            </c:ext>
          </c:extLst>
        </c:ser>
        <c:ser>
          <c:idx val="5"/>
          <c:order val="5"/>
          <c:tx>
            <c:strRef>
              <c:f>'PLE Financial History'!$C$108:$D$108</c:f>
              <c:strCache>
                <c:ptCount val="2"/>
                <c:pt idx="0">
                  <c:v>2019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'PLE Financial History'!$C$114:$DF$114</c:f>
              <c:numCache>
                <c:formatCode>m/d/yy;@</c:formatCode>
                <c:ptCount val="108"/>
                <c:pt idx="0">
                  <c:v>41669</c:v>
                </c:pt>
                <c:pt idx="1">
                  <c:v>41698</c:v>
                </c:pt>
                <c:pt idx="2">
                  <c:v>41729</c:v>
                </c:pt>
                <c:pt idx="3">
                  <c:v>41759</c:v>
                </c:pt>
                <c:pt idx="4">
                  <c:v>41790</c:v>
                </c:pt>
                <c:pt idx="5">
                  <c:v>41820</c:v>
                </c:pt>
                <c:pt idx="6">
                  <c:v>41851</c:v>
                </c:pt>
                <c:pt idx="7">
                  <c:v>41882</c:v>
                </c:pt>
                <c:pt idx="8">
                  <c:v>41912</c:v>
                </c:pt>
                <c:pt idx="9">
                  <c:v>41943</c:v>
                </c:pt>
                <c:pt idx="10">
                  <c:v>41973</c:v>
                </c:pt>
                <c:pt idx="11">
                  <c:v>42004</c:v>
                </c:pt>
                <c:pt idx="12">
                  <c:v>42035</c:v>
                </c:pt>
                <c:pt idx="13">
                  <c:v>42063</c:v>
                </c:pt>
                <c:pt idx="14">
                  <c:v>42094</c:v>
                </c:pt>
                <c:pt idx="15">
                  <c:v>42124</c:v>
                </c:pt>
                <c:pt idx="16">
                  <c:v>42155</c:v>
                </c:pt>
                <c:pt idx="17">
                  <c:v>42185</c:v>
                </c:pt>
                <c:pt idx="18">
                  <c:v>42216</c:v>
                </c:pt>
                <c:pt idx="19">
                  <c:v>42247</c:v>
                </c:pt>
                <c:pt idx="20">
                  <c:v>42277</c:v>
                </c:pt>
                <c:pt idx="21">
                  <c:v>42308</c:v>
                </c:pt>
                <c:pt idx="22">
                  <c:v>42338</c:v>
                </c:pt>
                <c:pt idx="23">
                  <c:v>42369</c:v>
                </c:pt>
                <c:pt idx="24">
                  <c:v>42400</c:v>
                </c:pt>
                <c:pt idx="25">
                  <c:v>42428</c:v>
                </c:pt>
                <c:pt idx="26">
                  <c:v>42460</c:v>
                </c:pt>
                <c:pt idx="27">
                  <c:v>42490</c:v>
                </c:pt>
                <c:pt idx="28">
                  <c:v>42521</c:v>
                </c:pt>
                <c:pt idx="29">
                  <c:v>42551</c:v>
                </c:pt>
                <c:pt idx="30">
                  <c:v>42582</c:v>
                </c:pt>
                <c:pt idx="31">
                  <c:v>42613</c:v>
                </c:pt>
                <c:pt idx="32">
                  <c:v>42643</c:v>
                </c:pt>
                <c:pt idx="33">
                  <c:v>42674</c:v>
                </c:pt>
                <c:pt idx="34">
                  <c:v>42704</c:v>
                </c:pt>
                <c:pt idx="35">
                  <c:v>42735</c:v>
                </c:pt>
                <c:pt idx="36">
                  <c:v>42766</c:v>
                </c:pt>
                <c:pt idx="37">
                  <c:v>42794</c:v>
                </c:pt>
                <c:pt idx="38">
                  <c:v>42825</c:v>
                </c:pt>
                <c:pt idx="39">
                  <c:v>42855</c:v>
                </c:pt>
                <c:pt idx="40">
                  <c:v>42886</c:v>
                </c:pt>
                <c:pt idx="41">
                  <c:v>42916</c:v>
                </c:pt>
                <c:pt idx="42">
                  <c:v>42947</c:v>
                </c:pt>
                <c:pt idx="43">
                  <c:v>42978</c:v>
                </c:pt>
                <c:pt idx="44">
                  <c:v>43008</c:v>
                </c:pt>
                <c:pt idx="45">
                  <c:v>43039</c:v>
                </c:pt>
                <c:pt idx="46">
                  <c:v>43069</c:v>
                </c:pt>
                <c:pt idx="47">
                  <c:v>43100</c:v>
                </c:pt>
                <c:pt idx="48">
                  <c:v>43131</c:v>
                </c:pt>
                <c:pt idx="49">
                  <c:v>43159</c:v>
                </c:pt>
                <c:pt idx="50">
                  <c:v>43190</c:v>
                </c:pt>
                <c:pt idx="51">
                  <c:v>43220</c:v>
                </c:pt>
                <c:pt idx="52">
                  <c:v>43251</c:v>
                </c:pt>
                <c:pt idx="53">
                  <c:v>43281</c:v>
                </c:pt>
                <c:pt idx="54">
                  <c:v>43312</c:v>
                </c:pt>
                <c:pt idx="55">
                  <c:v>43343</c:v>
                </c:pt>
                <c:pt idx="56">
                  <c:v>43373</c:v>
                </c:pt>
                <c:pt idx="57">
                  <c:v>43404</c:v>
                </c:pt>
                <c:pt idx="58">
                  <c:v>43434</c:v>
                </c:pt>
                <c:pt idx="59">
                  <c:v>43465</c:v>
                </c:pt>
                <c:pt idx="60">
                  <c:v>43496</c:v>
                </c:pt>
                <c:pt idx="61">
                  <c:v>43524</c:v>
                </c:pt>
                <c:pt idx="62">
                  <c:v>43555</c:v>
                </c:pt>
                <c:pt idx="63">
                  <c:v>43585</c:v>
                </c:pt>
                <c:pt idx="64">
                  <c:v>43616</c:v>
                </c:pt>
                <c:pt idx="65">
                  <c:v>43646</c:v>
                </c:pt>
                <c:pt idx="66">
                  <c:v>43677</c:v>
                </c:pt>
                <c:pt idx="67">
                  <c:v>43708</c:v>
                </c:pt>
                <c:pt idx="68">
                  <c:v>43738</c:v>
                </c:pt>
                <c:pt idx="69">
                  <c:v>43769</c:v>
                </c:pt>
                <c:pt idx="70">
                  <c:v>43799</c:v>
                </c:pt>
                <c:pt idx="71">
                  <c:v>43830</c:v>
                </c:pt>
                <c:pt idx="72">
                  <c:v>43861</c:v>
                </c:pt>
                <c:pt idx="73">
                  <c:v>43889</c:v>
                </c:pt>
                <c:pt idx="74">
                  <c:v>43921</c:v>
                </c:pt>
                <c:pt idx="75">
                  <c:v>43951</c:v>
                </c:pt>
                <c:pt idx="76">
                  <c:v>43982</c:v>
                </c:pt>
                <c:pt idx="77">
                  <c:v>44012</c:v>
                </c:pt>
                <c:pt idx="78">
                  <c:v>44043</c:v>
                </c:pt>
                <c:pt idx="79">
                  <c:v>44074</c:v>
                </c:pt>
                <c:pt idx="80">
                  <c:v>44104</c:v>
                </c:pt>
                <c:pt idx="81">
                  <c:v>44135</c:v>
                </c:pt>
                <c:pt idx="82">
                  <c:v>44165</c:v>
                </c:pt>
                <c:pt idx="83">
                  <c:v>44196</c:v>
                </c:pt>
                <c:pt idx="84">
                  <c:v>44227</c:v>
                </c:pt>
                <c:pt idx="85">
                  <c:v>44255</c:v>
                </c:pt>
                <c:pt idx="86">
                  <c:v>44286</c:v>
                </c:pt>
                <c:pt idx="87">
                  <c:v>44316</c:v>
                </c:pt>
                <c:pt idx="88">
                  <c:v>44347</c:v>
                </c:pt>
                <c:pt idx="89">
                  <c:v>44377</c:v>
                </c:pt>
                <c:pt idx="90">
                  <c:v>44408</c:v>
                </c:pt>
                <c:pt idx="91">
                  <c:v>44438</c:v>
                </c:pt>
                <c:pt idx="92">
                  <c:v>44469</c:v>
                </c:pt>
                <c:pt idx="93">
                  <c:v>44500</c:v>
                </c:pt>
                <c:pt idx="94">
                  <c:v>44530</c:v>
                </c:pt>
                <c:pt idx="95">
                  <c:v>44561</c:v>
                </c:pt>
                <c:pt idx="96">
                  <c:v>44592</c:v>
                </c:pt>
                <c:pt idx="97">
                  <c:v>44620</c:v>
                </c:pt>
                <c:pt idx="98">
                  <c:v>44651</c:v>
                </c:pt>
                <c:pt idx="99">
                  <c:v>44681</c:v>
                </c:pt>
                <c:pt idx="100">
                  <c:v>44712</c:v>
                </c:pt>
                <c:pt idx="101">
                  <c:v>44742</c:v>
                </c:pt>
                <c:pt idx="102">
                  <c:v>44773</c:v>
                </c:pt>
                <c:pt idx="103">
                  <c:v>44803</c:v>
                </c:pt>
                <c:pt idx="104">
                  <c:v>44834</c:v>
                </c:pt>
                <c:pt idx="105">
                  <c:v>44865</c:v>
                </c:pt>
                <c:pt idx="106">
                  <c:v>44895</c:v>
                </c:pt>
                <c:pt idx="107">
                  <c:v>44926</c:v>
                </c:pt>
              </c:numCache>
            </c:numRef>
          </c:cat>
          <c:val>
            <c:numRef>
              <c:f>'PLE Financial History'!$C$120:$CU$120</c:f>
              <c:numCache>
                <c:formatCode>"$"#,##0</c:formatCode>
                <c:ptCount val="97"/>
                <c:pt idx="59">
                  <c:v>23374.07</c:v>
                </c:pt>
                <c:pt idx="60">
                  <c:v>22821.07</c:v>
                </c:pt>
                <c:pt idx="61">
                  <c:v>22758.57</c:v>
                </c:pt>
                <c:pt idx="62">
                  <c:v>31275.57</c:v>
                </c:pt>
                <c:pt idx="63">
                  <c:v>34588.07</c:v>
                </c:pt>
                <c:pt idx="64">
                  <c:v>34525.57</c:v>
                </c:pt>
                <c:pt idx="65">
                  <c:v>31636.32</c:v>
                </c:pt>
                <c:pt idx="66">
                  <c:v>31573.82</c:v>
                </c:pt>
                <c:pt idx="67">
                  <c:v>31511.32</c:v>
                </c:pt>
                <c:pt idx="68">
                  <c:v>29839.989999999998</c:v>
                </c:pt>
                <c:pt idx="69">
                  <c:v>22837.829999999998</c:v>
                </c:pt>
                <c:pt idx="70">
                  <c:v>19630.059999999998</c:v>
                </c:pt>
                <c:pt idx="71">
                  <c:v>17009.909999999996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85-4185-9E09-03E9B4489CF3}"/>
            </c:ext>
          </c:extLst>
        </c:ser>
        <c:ser>
          <c:idx val="6"/>
          <c:order val="6"/>
          <c:tx>
            <c:v>2020</c:v>
          </c:tx>
          <c:spPr>
            <a:ln w="28575" cap="rnd">
              <a:solidFill>
                <a:srgbClr val="0000FF"/>
              </a:solidFill>
              <a:round/>
            </a:ln>
            <a:effectLst/>
          </c:spPr>
          <c:marker>
            <c:symbol val="none"/>
          </c:marker>
          <c:cat>
            <c:numRef>
              <c:f>'PLE Financial History'!$C$114:$DF$114</c:f>
              <c:numCache>
                <c:formatCode>m/d/yy;@</c:formatCode>
                <c:ptCount val="108"/>
                <c:pt idx="0">
                  <c:v>41669</c:v>
                </c:pt>
                <c:pt idx="1">
                  <c:v>41698</c:v>
                </c:pt>
                <c:pt idx="2">
                  <c:v>41729</c:v>
                </c:pt>
                <c:pt idx="3">
                  <c:v>41759</c:v>
                </c:pt>
                <c:pt idx="4">
                  <c:v>41790</c:v>
                </c:pt>
                <c:pt idx="5">
                  <c:v>41820</c:v>
                </c:pt>
                <c:pt idx="6">
                  <c:v>41851</c:v>
                </c:pt>
                <c:pt idx="7">
                  <c:v>41882</c:v>
                </c:pt>
                <c:pt idx="8">
                  <c:v>41912</c:v>
                </c:pt>
                <c:pt idx="9">
                  <c:v>41943</c:v>
                </c:pt>
                <c:pt idx="10">
                  <c:v>41973</c:v>
                </c:pt>
                <c:pt idx="11">
                  <c:v>42004</c:v>
                </c:pt>
                <c:pt idx="12">
                  <c:v>42035</c:v>
                </c:pt>
                <c:pt idx="13">
                  <c:v>42063</c:v>
                </c:pt>
                <c:pt idx="14">
                  <c:v>42094</c:v>
                </c:pt>
                <c:pt idx="15">
                  <c:v>42124</c:v>
                </c:pt>
                <c:pt idx="16">
                  <c:v>42155</c:v>
                </c:pt>
                <c:pt idx="17">
                  <c:v>42185</c:v>
                </c:pt>
                <c:pt idx="18">
                  <c:v>42216</c:v>
                </c:pt>
                <c:pt idx="19">
                  <c:v>42247</c:v>
                </c:pt>
                <c:pt idx="20">
                  <c:v>42277</c:v>
                </c:pt>
                <c:pt idx="21">
                  <c:v>42308</c:v>
                </c:pt>
                <c:pt idx="22">
                  <c:v>42338</c:v>
                </c:pt>
                <c:pt idx="23">
                  <c:v>42369</c:v>
                </c:pt>
                <c:pt idx="24">
                  <c:v>42400</c:v>
                </c:pt>
                <c:pt idx="25">
                  <c:v>42428</c:v>
                </c:pt>
                <c:pt idx="26">
                  <c:v>42460</c:v>
                </c:pt>
                <c:pt idx="27">
                  <c:v>42490</c:v>
                </c:pt>
                <c:pt idx="28">
                  <c:v>42521</c:v>
                </c:pt>
                <c:pt idx="29">
                  <c:v>42551</c:v>
                </c:pt>
                <c:pt idx="30">
                  <c:v>42582</c:v>
                </c:pt>
                <c:pt idx="31">
                  <c:v>42613</c:v>
                </c:pt>
                <c:pt idx="32">
                  <c:v>42643</c:v>
                </c:pt>
                <c:pt idx="33">
                  <c:v>42674</c:v>
                </c:pt>
                <c:pt idx="34">
                  <c:v>42704</c:v>
                </c:pt>
                <c:pt idx="35">
                  <c:v>42735</c:v>
                </c:pt>
                <c:pt idx="36">
                  <c:v>42766</c:v>
                </c:pt>
                <c:pt idx="37">
                  <c:v>42794</c:v>
                </c:pt>
                <c:pt idx="38">
                  <c:v>42825</c:v>
                </c:pt>
                <c:pt idx="39">
                  <c:v>42855</c:v>
                </c:pt>
                <c:pt idx="40">
                  <c:v>42886</c:v>
                </c:pt>
                <c:pt idx="41">
                  <c:v>42916</c:v>
                </c:pt>
                <c:pt idx="42">
                  <c:v>42947</c:v>
                </c:pt>
                <c:pt idx="43">
                  <c:v>42978</c:v>
                </c:pt>
                <c:pt idx="44">
                  <c:v>43008</c:v>
                </c:pt>
                <c:pt idx="45">
                  <c:v>43039</c:v>
                </c:pt>
                <c:pt idx="46">
                  <c:v>43069</c:v>
                </c:pt>
                <c:pt idx="47">
                  <c:v>43100</c:v>
                </c:pt>
                <c:pt idx="48">
                  <c:v>43131</c:v>
                </c:pt>
                <c:pt idx="49">
                  <c:v>43159</c:v>
                </c:pt>
                <c:pt idx="50">
                  <c:v>43190</c:v>
                </c:pt>
                <c:pt idx="51">
                  <c:v>43220</c:v>
                </c:pt>
                <c:pt idx="52">
                  <c:v>43251</c:v>
                </c:pt>
                <c:pt idx="53">
                  <c:v>43281</c:v>
                </c:pt>
                <c:pt idx="54">
                  <c:v>43312</c:v>
                </c:pt>
                <c:pt idx="55">
                  <c:v>43343</c:v>
                </c:pt>
                <c:pt idx="56">
                  <c:v>43373</c:v>
                </c:pt>
                <c:pt idx="57">
                  <c:v>43404</c:v>
                </c:pt>
                <c:pt idx="58">
                  <c:v>43434</c:v>
                </c:pt>
                <c:pt idx="59">
                  <c:v>43465</c:v>
                </c:pt>
                <c:pt idx="60">
                  <c:v>43496</c:v>
                </c:pt>
                <c:pt idx="61">
                  <c:v>43524</c:v>
                </c:pt>
                <c:pt idx="62">
                  <c:v>43555</c:v>
                </c:pt>
                <c:pt idx="63">
                  <c:v>43585</c:v>
                </c:pt>
                <c:pt idx="64">
                  <c:v>43616</c:v>
                </c:pt>
                <c:pt idx="65">
                  <c:v>43646</c:v>
                </c:pt>
                <c:pt idx="66">
                  <c:v>43677</c:v>
                </c:pt>
                <c:pt idx="67">
                  <c:v>43708</c:v>
                </c:pt>
                <c:pt idx="68">
                  <c:v>43738</c:v>
                </c:pt>
                <c:pt idx="69">
                  <c:v>43769</c:v>
                </c:pt>
                <c:pt idx="70">
                  <c:v>43799</c:v>
                </c:pt>
                <c:pt idx="71">
                  <c:v>43830</c:v>
                </c:pt>
                <c:pt idx="72">
                  <c:v>43861</c:v>
                </c:pt>
                <c:pt idx="73">
                  <c:v>43889</c:v>
                </c:pt>
                <c:pt idx="74">
                  <c:v>43921</c:v>
                </c:pt>
                <c:pt idx="75">
                  <c:v>43951</c:v>
                </c:pt>
                <c:pt idx="76">
                  <c:v>43982</c:v>
                </c:pt>
                <c:pt idx="77">
                  <c:v>44012</c:v>
                </c:pt>
                <c:pt idx="78">
                  <c:v>44043</c:v>
                </c:pt>
                <c:pt idx="79">
                  <c:v>44074</c:v>
                </c:pt>
                <c:pt idx="80">
                  <c:v>44104</c:v>
                </c:pt>
                <c:pt idx="81">
                  <c:v>44135</c:v>
                </c:pt>
                <c:pt idx="82">
                  <c:v>44165</c:v>
                </c:pt>
                <c:pt idx="83">
                  <c:v>44196</c:v>
                </c:pt>
                <c:pt idx="84">
                  <c:v>44227</c:v>
                </c:pt>
                <c:pt idx="85">
                  <c:v>44255</c:v>
                </c:pt>
                <c:pt idx="86">
                  <c:v>44286</c:v>
                </c:pt>
                <c:pt idx="87">
                  <c:v>44316</c:v>
                </c:pt>
                <c:pt idx="88">
                  <c:v>44347</c:v>
                </c:pt>
                <c:pt idx="89">
                  <c:v>44377</c:v>
                </c:pt>
                <c:pt idx="90">
                  <c:v>44408</c:v>
                </c:pt>
                <c:pt idx="91">
                  <c:v>44438</c:v>
                </c:pt>
                <c:pt idx="92">
                  <c:v>44469</c:v>
                </c:pt>
                <c:pt idx="93">
                  <c:v>44500</c:v>
                </c:pt>
                <c:pt idx="94">
                  <c:v>44530</c:v>
                </c:pt>
                <c:pt idx="95">
                  <c:v>44561</c:v>
                </c:pt>
                <c:pt idx="96">
                  <c:v>44592</c:v>
                </c:pt>
                <c:pt idx="97">
                  <c:v>44620</c:v>
                </c:pt>
                <c:pt idx="98">
                  <c:v>44651</c:v>
                </c:pt>
                <c:pt idx="99">
                  <c:v>44681</c:v>
                </c:pt>
                <c:pt idx="100">
                  <c:v>44712</c:v>
                </c:pt>
                <c:pt idx="101">
                  <c:v>44742</c:v>
                </c:pt>
                <c:pt idx="102">
                  <c:v>44773</c:v>
                </c:pt>
                <c:pt idx="103">
                  <c:v>44803</c:v>
                </c:pt>
                <c:pt idx="104">
                  <c:v>44834</c:v>
                </c:pt>
                <c:pt idx="105">
                  <c:v>44865</c:v>
                </c:pt>
                <c:pt idx="106">
                  <c:v>44895</c:v>
                </c:pt>
                <c:pt idx="107">
                  <c:v>44926</c:v>
                </c:pt>
              </c:numCache>
            </c:numRef>
          </c:cat>
          <c:val>
            <c:numRef>
              <c:f>'PLE Financial History'!$C$121:$CU$121</c:f>
              <c:numCache>
                <c:formatCode>"$"#,##0</c:formatCode>
                <c:ptCount val="97"/>
                <c:pt idx="71">
                  <c:v>17009.909999999996</c:v>
                </c:pt>
                <c:pt idx="72">
                  <c:v>16354.059999999996</c:v>
                </c:pt>
                <c:pt idx="73">
                  <c:v>19623.879999999997</c:v>
                </c:pt>
                <c:pt idx="74">
                  <c:v>27238.799999999996</c:v>
                </c:pt>
                <c:pt idx="75">
                  <c:v>26485.779999999995</c:v>
                </c:pt>
                <c:pt idx="76">
                  <c:v>24990.849999999995</c:v>
                </c:pt>
                <c:pt idx="77">
                  <c:v>23037.489999999994</c:v>
                </c:pt>
                <c:pt idx="78">
                  <c:v>23050.709999999995</c:v>
                </c:pt>
                <c:pt idx="79">
                  <c:v>22069.449999999997</c:v>
                </c:pt>
                <c:pt idx="80">
                  <c:v>20729.369999999995</c:v>
                </c:pt>
                <c:pt idx="81">
                  <c:v>19761.379999999994</c:v>
                </c:pt>
                <c:pt idx="82">
                  <c:v>18742.459999999992</c:v>
                </c:pt>
                <c:pt idx="83">
                  <c:v>17748.039999999994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985-4185-9E09-03E9B4489CF3}"/>
            </c:ext>
          </c:extLst>
        </c:ser>
        <c:ser>
          <c:idx val="7"/>
          <c:order val="7"/>
          <c:tx>
            <c:v>2021</c:v>
          </c:tx>
          <c:spPr>
            <a:ln w="28575" cap="rnd">
              <a:solidFill>
                <a:srgbClr val="33CC33"/>
              </a:solidFill>
              <a:round/>
            </a:ln>
            <a:effectLst/>
          </c:spPr>
          <c:marker>
            <c:symbol val="none"/>
          </c:marker>
          <c:cat>
            <c:numRef>
              <c:f>'PLE Financial History'!$C$114:$DF$114</c:f>
              <c:numCache>
                <c:formatCode>m/d/yy;@</c:formatCode>
                <c:ptCount val="108"/>
                <c:pt idx="0">
                  <c:v>41669</c:v>
                </c:pt>
                <c:pt idx="1">
                  <c:v>41698</c:v>
                </c:pt>
                <c:pt idx="2">
                  <c:v>41729</c:v>
                </c:pt>
                <c:pt idx="3">
                  <c:v>41759</c:v>
                </c:pt>
                <c:pt idx="4">
                  <c:v>41790</c:v>
                </c:pt>
                <c:pt idx="5">
                  <c:v>41820</c:v>
                </c:pt>
                <c:pt idx="6">
                  <c:v>41851</c:v>
                </c:pt>
                <c:pt idx="7">
                  <c:v>41882</c:v>
                </c:pt>
                <c:pt idx="8">
                  <c:v>41912</c:v>
                </c:pt>
                <c:pt idx="9">
                  <c:v>41943</c:v>
                </c:pt>
                <c:pt idx="10">
                  <c:v>41973</c:v>
                </c:pt>
                <c:pt idx="11">
                  <c:v>42004</c:v>
                </c:pt>
                <c:pt idx="12">
                  <c:v>42035</c:v>
                </c:pt>
                <c:pt idx="13">
                  <c:v>42063</c:v>
                </c:pt>
                <c:pt idx="14">
                  <c:v>42094</c:v>
                </c:pt>
                <c:pt idx="15">
                  <c:v>42124</c:v>
                </c:pt>
                <c:pt idx="16">
                  <c:v>42155</c:v>
                </c:pt>
                <c:pt idx="17">
                  <c:v>42185</c:v>
                </c:pt>
                <c:pt idx="18">
                  <c:v>42216</c:v>
                </c:pt>
                <c:pt idx="19">
                  <c:v>42247</c:v>
                </c:pt>
                <c:pt idx="20">
                  <c:v>42277</c:v>
                </c:pt>
                <c:pt idx="21">
                  <c:v>42308</c:v>
                </c:pt>
                <c:pt idx="22">
                  <c:v>42338</c:v>
                </c:pt>
                <c:pt idx="23">
                  <c:v>42369</c:v>
                </c:pt>
                <c:pt idx="24">
                  <c:v>42400</c:v>
                </c:pt>
                <c:pt idx="25">
                  <c:v>42428</c:v>
                </c:pt>
                <c:pt idx="26">
                  <c:v>42460</c:v>
                </c:pt>
                <c:pt idx="27">
                  <c:v>42490</c:v>
                </c:pt>
                <c:pt idx="28">
                  <c:v>42521</c:v>
                </c:pt>
                <c:pt idx="29">
                  <c:v>42551</c:v>
                </c:pt>
                <c:pt idx="30">
                  <c:v>42582</c:v>
                </c:pt>
                <c:pt idx="31">
                  <c:v>42613</c:v>
                </c:pt>
                <c:pt idx="32">
                  <c:v>42643</c:v>
                </c:pt>
                <c:pt idx="33">
                  <c:v>42674</c:v>
                </c:pt>
                <c:pt idx="34">
                  <c:v>42704</c:v>
                </c:pt>
                <c:pt idx="35">
                  <c:v>42735</c:v>
                </c:pt>
                <c:pt idx="36">
                  <c:v>42766</c:v>
                </c:pt>
                <c:pt idx="37">
                  <c:v>42794</c:v>
                </c:pt>
                <c:pt idx="38">
                  <c:v>42825</c:v>
                </c:pt>
                <c:pt idx="39">
                  <c:v>42855</c:v>
                </c:pt>
                <c:pt idx="40">
                  <c:v>42886</c:v>
                </c:pt>
                <c:pt idx="41">
                  <c:v>42916</c:v>
                </c:pt>
                <c:pt idx="42">
                  <c:v>42947</c:v>
                </c:pt>
                <c:pt idx="43">
                  <c:v>42978</c:v>
                </c:pt>
                <c:pt idx="44">
                  <c:v>43008</c:v>
                </c:pt>
                <c:pt idx="45">
                  <c:v>43039</c:v>
                </c:pt>
                <c:pt idx="46">
                  <c:v>43069</c:v>
                </c:pt>
                <c:pt idx="47">
                  <c:v>43100</c:v>
                </c:pt>
                <c:pt idx="48">
                  <c:v>43131</c:v>
                </c:pt>
                <c:pt idx="49">
                  <c:v>43159</c:v>
                </c:pt>
                <c:pt idx="50">
                  <c:v>43190</c:v>
                </c:pt>
                <c:pt idx="51">
                  <c:v>43220</c:v>
                </c:pt>
                <c:pt idx="52">
                  <c:v>43251</c:v>
                </c:pt>
                <c:pt idx="53">
                  <c:v>43281</c:v>
                </c:pt>
                <c:pt idx="54">
                  <c:v>43312</c:v>
                </c:pt>
                <c:pt idx="55">
                  <c:v>43343</c:v>
                </c:pt>
                <c:pt idx="56">
                  <c:v>43373</c:v>
                </c:pt>
                <c:pt idx="57">
                  <c:v>43404</c:v>
                </c:pt>
                <c:pt idx="58">
                  <c:v>43434</c:v>
                </c:pt>
                <c:pt idx="59">
                  <c:v>43465</c:v>
                </c:pt>
                <c:pt idx="60">
                  <c:v>43496</c:v>
                </c:pt>
                <c:pt idx="61">
                  <c:v>43524</c:v>
                </c:pt>
                <c:pt idx="62">
                  <c:v>43555</c:v>
                </c:pt>
                <c:pt idx="63">
                  <c:v>43585</c:v>
                </c:pt>
                <c:pt idx="64">
                  <c:v>43616</c:v>
                </c:pt>
                <c:pt idx="65">
                  <c:v>43646</c:v>
                </c:pt>
                <c:pt idx="66">
                  <c:v>43677</c:v>
                </c:pt>
                <c:pt idx="67">
                  <c:v>43708</c:v>
                </c:pt>
                <c:pt idx="68">
                  <c:v>43738</c:v>
                </c:pt>
                <c:pt idx="69">
                  <c:v>43769</c:v>
                </c:pt>
                <c:pt idx="70">
                  <c:v>43799</c:v>
                </c:pt>
                <c:pt idx="71">
                  <c:v>43830</c:v>
                </c:pt>
                <c:pt idx="72">
                  <c:v>43861</c:v>
                </c:pt>
                <c:pt idx="73">
                  <c:v>43889</c:v>
                </c:pt>
                <c:pt idx="74">
                  <c:v>43921</c:v>
                </c:pt>
                <c:pt idx="75">
                  <c:v>43951</c:v>
                </c:pt>
                <c:pt idx="76">
                  <c:v>43982</c:v>
                </c:pt>
                <c:pt idx="77">
                  <c:v>44012</c:v>
                </c:pt>
                <c:pt idx="78">
                  <c:v>44043</c:v>
                </c:pt>
                <c:pt idx="79">
                  <c:v>44074</c:v>
                </c:pt>
                <c:pt idx="80">
                  <c:v>44104</c:v>
                </c:pt>
                <c:pt idx="81">
                  <c:v>44135</c:v>
                </c:pt>
                <c:pt idx="82">
                  <c:v>44165</c:v>
                </c:pt>
                <c:pt idx="83">
                  <c:v>44196</c:v>
                </c:pt>
                <c:pt idx="84">
                  <c:v>44227</c:v>
                </c:pt>
                <c:pt idx="85">
                  <c:v>44255</c:v>
                </c:pt>
                <c:pt idx="86">
                  <c:v>44286</c:v>
                </c:pt>
                <c:pt idx="87">
                  <c:v>44316</c:v>
                </c:pt>
                <c:pt idx="88">
                  <c:v>44347</c:v>
                </c:pt>
                <c:pt idx="89">
                  <c:v>44377</c:v>
                </c:pt>
                <c:pt idx="90">
                  <c:v>44408</c:v>
                </c:pt>
                <c:pt idx="91">
                  <c:v>44438</c:v>
                </c:pt>
                <c:pt idx="92">
                  <c:v>44469</c:v>
                </c:pt>
                <c:pt idx="93">
                  <c:v>44500</c:v>
                </c:pt>
                <c:pt idx="94">
                  <c:v>44530</c:v>
                </c:pt>
                <c:pt idx="95">
                  <c:v>44561</c:v>
                </c:pt>
                <c:pt idx="96">
                  <c:v>44592</c:v>
                </c:pt>
                <c:pt idx="97">
                  <c:v>44620</c:v>
                </c:pt>
                <c:pt idx="98">
                  <c:v>44651</c:v>
                </c:pt>
                <c:pt idx="99">
                  <c:v>44681</c:v>
                </c:pt>
                <c:pt idx="100">
                  <c:v>44712</c:v>
                </c:pt>
                <c:pt idx="101">
                  <c:v>44742</c:v>
                </c:pt>
                <c:pt idx="102">
                  <c:v>44773</c:v>
                </c:pt>
                <c:pt idx="103">
                  <c:v>44803</c:v>
                </c:pt>
                <c:pt idx="104">
                  <c:v>44834</c:v>
                </c:pt>
                <c:pt idx="105">
                  <c:v>44865</c:v>
                </c:pt>
                <c:pt idx="106">
                  <c:v>44895</c:v>
                </c:pt>
                <c:pt idx="107">
                  <c:v>44926</c:v>
                </c:pt>
              </c:numCache>
            </c:numRef>
          </c:cat>
          <c:val>
            <c:numRef>
              <c:f>'PLE Financial History'!$C$122:$CU$122</c:f>
              <c:numCache>
                <c:formatCode>"$"#,##0</c:formatCode>
                <c:ptCount val="97"/>
                <c:pt idx="83">
                  <c:v>17748.039999999994</c:v>
                </c:pt>
                <c:pt idx="84">
                  <c:v>17107.959999999995</c:v>
                </c:pt>
                <c:pt idx="85">
                  <c:v>16467.879999999994</c:v>
                </c:pt>
                <c:pt idx="86">
                  <c:v>16377.799999999994</c:v>
                </c:pt>
                <c:pt idx="87">
                  <c:v>28087.719999999994</c:v>
                </c:pt>
                <c:pt idx="88">
                  <c:v>27185.639999999992</c:v>
                </c:pt>
                <c:pt idx="89">
                  <c:v>26773.299999999992</c:v>
                </c:pt>
                <c:pt idx="90">
                  <c:v>25539.679999999993</c:v>
                </c:pt>
                <c:pt idx="91">
                  <c:v>25034.339999999993</c:v>
                </c:pt>
                <c:pt idx="92">
                  <c:v>24944.259999999991</c:v>
                </c:pt>
                <c:pt idx="93">
                  <c:v>23754.179999999993</c:v>
                </c:pt>
                <c:pt idx="94">
                  <c:v>23114.099999999991</c:v>
                </c:pt>
                <c:pt idx="95">
                  <c:v>22706.149999999991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4985-4185-9E09-03E9B4489CF3}"/>
            </c:ext>
          </c:extLst>
        </c:ser>
        <c:ser>
          <c:idx val="9"/>
          <c:order val="8"/>
          <c:tx>
            <c:v>2022</c:v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'PLE Financial History'!$C$114:$DF$114</c:f>
              <c:numCache>
                <c:formatCode>m/d/yy;@</c:formatCode>
                <c:ptCount val="108"/>
                <c:pt idx="0">
                  <c:v>41669</c:v>
                </c:pt>
                <c:pt idx="1">
                  <c:v>41698</c:v>
                </c:pt>
                <c:pt idx="2">
                  <c:v>41729</c:v>
                </c:pt>
                <c:pt idx="3">
                  <c:v>41759</c:v>
                </c:pt>
                <c:pt idx="4">
                  <c:v>41790</c:v>
                </c:pt>
                <c:pt idx="5">
                  <c:v>41820</c:v>
                </c:pt>
                <c:pt idx="6">
                  <c:v>41851</c:v>
                </c:pt>
                <c:pt idx="7">
                  <c:v>41882</c:v>
                </c:pt>
                <c:pt idx="8">
                  <c:v>41912</c:v>
                </c:pt>
                <c:pt idx="9">
                  <c:v>41943</c:v>
                </c:pt>
                <c:pt idx="10">
                  <c:v>41973</c:v>
                </c:pt>
                <c:pt idx="11">
                  <c:v>42004</c:v>
                </c:pt>
                <c:pt idx="12">
                  <c:v>42035</c:v>
                </c:pt>
                <c:pt idx="13">
                  <c:v>42063</c:v>
                </c:pt>
                <c:pt idx="14">
                  <c:v>42094</c:v>
                </c:pt>
                <c:pt idx="15">
                  <c:v>42124</c:v>
                </c:pt>
                <c:pt idx="16">
                  <c:v>42155</c:v>
                </c:pt>
                <c:pt idx="17">
                  <c:v>42185</c:v>
                </c:pt>
                <c:pt idx="18">
                  <c:v>42216</c:v>
                </c:pt>
                <c:pt idx="19">
                  <c:v>42247</c:v>
                </c:pt>
                <c:pt idx="20">
                  <c:v>42277</c:v>
                </c:pt>
                <c:pt idx="21">
                  <c:v>42308</c:v>
                </c:pt>
                <c:pt idx="22">
                  <c:v>42338</c:v>
                </c:pt>
                <c:pt idx="23">
                  <c:v>42369</c:v>
                </c:pt>
                <c:pt idx="24">
                  <c:v>42400</c:v>
                </c:pt>
                <c:pt idx="25">
                  <c:v>42428</c:v>
                </c:pt>
                <c:pt idx="26">
                  <c:v>42460</c:v>
                </c:pt>
                <c:pt idx="27">
                  <c:v>42490</c:v>
                </c:pt>
                <c:pt idx="28">
                  <c:v>42521</c:v>
                </c:pt>
                <c:pt idx="29">
                  <c:v>42551</c:v>
                </c:pt>
                <c:pt idx="30">
                  <c:v>42582</c:v>
                </c:pt>
                <c:pt idx="31">
                  <c:v>42613</c:v>
                </c:pt>
                <c:pt idx="32">
                  <c:v>42643</c:v>
                </c:pt>
                <c:pt idx="33">
                  <c:v>42674</c:v>
                </c:pt>
                <c:pt idx="34">
                  <c:v>42704</c:v>
                </c:pt>
                <c:pt idx="35">
                  <c:v>42735</c:v>
                </c:pt>
                <c:pt idx="36">
                  <c:v>42766</c:v>
                </c:pt>
                <c:pt idx="37">
                  <c:v>42794</c:v>
                </c:pt>
                <c:pt idx="38">
                  <c:v>42825</c:v>
                </c:pt>
                <c:pt idx="39">
                  <c:v>42855</c:v>
                </c:pt>
                <c:pt idx="40">
                  <c:v>42886</c:v>
                </c:pt>
                <c:pt idx="41">
                  <c:v>42916</c:v>
                </c:pt>
                <c:pt idx="42">
                  <c:v>42947</c:v>
                </c:pt>
                <c:pt idx="43">
                  <c:v>42978</c:v>
                </c:pt>
                <c:pt idx="44">
                  <c:v>43008</c:v>
                </c:pt>
                <c:pt idx="45">
                  <c:v>43039</c:v>
                </c:pt>
                <c:pt idx="46">
                  <c:v>43069</c:v>
                </c:pt>
                <c:pt idx="47">
                  <c:v>43100</c:v>
                </c:pt>
                <c:pt idx="48">
                  <c:v>43131</c:v>
                </c:pt>
                <c:pt idx="49">
                  <c:v>43159</c:v>
                </c:pt>
                <c:pt idx="50">
                  <c:v>43190</c:v>
                </c:pt>
                <c:pt idx="51">
                  <c:v>43220</c:v>
                </c:pt>
                <c:pt idx="52">
                  <c:v>43251</c:v>
                </c:pt>
                <c:pt idx="53">
                  <c:v>43281</c:v>
                </c:pt>
                <c:pt idx="54">
                  <c:v>43312</c:v>
                </c:pt>
                <c:pt idx="55">
                  <c:v>43343</c:v>
                </c:pt>
                <c:pt idx="56">
                  <c:v>43373</c:v>
                </c:pt>
                <c:pt idx="57">
                  <c:v>43404</c:v>
                </c:pt>
                <c:pt idx="58">
                  <c:v>43434</c:v>
                </c:pt>
                <c:pt idx="59">
                  <c:v>43465</c:v>
                </c:pt>
                <c:pt idx="60">
                  <c:v>43496</c:v>
                </c:pt>
                <c:pt idx="61">
                  <c:v>43524</c:v>
                </c:pt>
                <c:pt idx="62">
                  <c:v>43555</c:v>
                </c:pt>
                <c:pt idx="63">
                  <c:v>43585</c:v>
                </c:pt>
                <c:pt idx="64">
                  <c:v>43616</c:v>
                </c:pt>
                <c:pt idx="65">
                  <c:v>43646</c:v>
                </c:pt>
                <c:pt idx="66">
                  <c:v>43677</c:v>
                </c:pt>
                <c:pt idx="67">
                  <c:v>43708</c:v>
                </c:pt>
                <c:pt idx="68">
                  <c:v>43738</c:v>
                </c:pt>
                <c:pt idx="69">
                  <c:v>43769</c:v>
                </c:pt>
                <c:pt idx="70">
                  <c:v>43799</c:v>
                </c:pt>
                <c:pt idx="71">
                  <c:v>43830</c:v>
                </c:pt>
                <c:pt idx="72">
                  <c:v>43861</c:v>
                </c:pt>
                <c:pt idx="73">
                  <c:v>43889</c:v>
                </c:pt>
                <c:pt idx="74">
                  <c:v>43921</c:v>
                </c:pt>
                <c:pt idx="75">
                  <c:v>43951</c:v>
                </c:pt>
                <c:pt idx="76">
                  <c:v>43982</c:v>
                </c:pt>
                <c:pt idx="77">
                  <c:v>44012</c:v>
                </c:pt>
                <c:pt idx="78">
                  <c:v>44043</c:v>
                </c:pt>
                <c:pt idx="79">
                  <c:v>44074</c:v>
                </c:pt>
                <c:pt idx="80">
                  <c:v>44104</c:v>
                </c:pt>
                <c:pt idx="81">
                  <c:v>44135</c:v>
                </c:pt>
                <c:pt idx="82">
                  <c:v>44165</c:v>
                </c:pt>
                <c:pt idx="83">
                  <c:v>44196</c:v>
                </c:pt>
                <c:pt idx="84">
                  <c:v>44227</c:v>
                </c:pt>
                <c:pt idx="85">
                  <c:v>44255</c:v>
                </c:pt>
                <c:pt idx="86">
                  <c:v>44286</c:v>
                </c:pt>
                <c:pt idx="87">
                  <c:v>44316</c:v>
                </c:pt>
                <c:pt idx="88">
                  <c:v>44347</c:v>
                </c:pt>
                <c:pt idx="89">
                  <c:v>44377</c:v>
                </c:pt>
                <c:pt idx="90">
                  <c:v>44408</c:v>
                </c:pt>
                <c:pt idx="91">
                  <c:v>44438</c:v>
                </c:pt>
                <c:pt idx="92">
                  <c:v>44469</c:v>
                </c:pt>
                <c:pt idx="93">
                  <c:v>44500</c:v>
                </c:pt>
                <c:pt idx="94">
                  <c:v>44530</c:v>
                </c:pt>
                <c:pt idx="95">
                  <c:v>44561</c:v>
                </c:pt>
                <c:pt idx="96">
                  <c:v>44592</c:v>
                </c:pt>
                <c:pt idx="97">
                  <c:v>44620</c:v>
                </c:pt>
                <c:pt idx="98">
                  <c:v>44651</c:v>
                </c:pt>
                <c:pt idx="99">
                  <c:v>44681</c:v>
                </c:pt>
                <c:pt idx="100">
                  <c:v>44712</c:v>
                </c:pt>
                <c:pt idx="101">
                  <c:v>44742</c:v>
                </c:pt>
                <c:pt idx="102">
                  <c:v>44773</c:v>
                </c:pt>
                <c:pt idx="103">
                  <c:v>44803</c:v>
                </c:pt>
                <c:pt idx="104">
                  <c:v>44834</c:v>
                </c:pt>
                <c:pt idx="105">
                  <c:v>44865</c:v>
                </c:pt>
                <c:pt idx="106">
                  <c:v>44895</c:v>
                </c:pt>
                <c:pt idx="107">
                  <c:v>44926</c:v>
                </c:pt>
              </c:numCache>
            </c:numRef>
          </c:cat>
          <c:val>
            <c:numRef>
              <c:f>'PLE Financial History'!$C$123:$DF$123</c:f>
              <c:numCache>
                <c:formatCode>"$"#,##0</c:formatCode>
                <c:ptCount val="108"/>
                <c:pt idx="95">
                  <c:v>22706.149999999991</c:v>
                </c:pt>
                <c:pt idx="96">
                  <c:v>21516.07</c:v>
                </c:pt>
                <c:pt idx="97">
                  <c:v>20677.989999999998</c:v>
                </c:pt>
                <c:pt idx="98">
                  <c:v>19609.899999999998</c:v>
                </c:pt>
                <c:pt idx="99">
                  <c:v>28979.819999999996</c:v>
                </c:pt>
                <c:pt idx="100">
                  <c:v>30369.739999999998</c:v>
                </c:pt>
                <c:pt idx="101">
                  <c:v>29038.46</c:v>
                </c:pt>
                <c:pt idx="102">
                  <c:v>27848.379999999997</c:v>
                </c:pt>
                <c:pt idx="103">
                  <c:v>28478.299999999996</c:v>
                </c:pt>
                <c:pt idx="104">
                  <c:v>27982.919999999995</c:v>
                </c:pt>
                <c:pt idx="105">
                  <c:v>26842.839999999997</c:v>
                </c:pt>
                <c:pt idx="106">
                  <c:v>26082.759999999995</c:v>
                </c:pt>
                <c:pt idx="107">
                  <c:v>24307.169999999995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61-499F-ABDE-59E5FB5FE8FA}"/>
            </c:ext>
          </c:extLst>
        </c:ser>
        <c:ser>
          <c:idx val="8"/>
          <c:order val="9"/>
          <c:tx>
            <c:v>FA &amp; 3 Mo Reserve</c:v>
          </c:tx>
          <c:spPr>
            <a:ln w="25400" cap="rnd">
              <a:solidFill>
                <a:schemeClr val="accent3">
                  <a:lumMod val="60000"/>
                </a:schemeClr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'PLE Financial History'!$C$114:$DF$114</c:f>
              <c:numCache>
                <c:formatCode>m/d/yy;@</c:formatCode>
                <c:ptCount val="108"/>
                <c:pt idx="0">
                  <c:v>41669</c:v>
                </c:pt>
                <c:pt idx="1">
                  <c:v>41698</c:v>
                </c:pt>
                <c:pt idx="2">
                  <c:v>41729</c:v>
                </c:pt>
                <c:pt idx="3">
                  <c:v>41759</c:v>
                </c:pt>
                <c:pt idx="4">
                  <c:v>41790</c:v>
                </c:pt>
                <c:pt idx="5">
                  <c:v>41820</c:v>
                </c:pt>
                <c:pt idx="6">
                  <c:v>41851</c:v>
                </c:pt>
                <c:pt idx="7">
                  <c:v>41882</c:v>
                </c:pt>
                <c:pt idx="8">
                  <c:v>41912</c:v>
                </c:pt>
                <c:pt idx="9">
                  <c:v>41943</c:v>
                </c:pt>
                <c:pt idx="10">
                  <c:v>41973</c:v>
                </c:pt>
                <c:pt idx="11">
                  <c:v>42004</c:v>
                </c:pt>
                <c:pt idx="12">
                  <c:v>42035</c:v>
                </c:pt>
                <c:pt idx="13">
                  <c:v>42063</c:v>
                </c:pt>
                <c:pt idx="14">
                  <c:v>42094</c:v>
                </c:pt>
                <c:pt idx="15">
                  <c:v>42124</c:v>
                </c:pt>
                <c:pt idx="16">
                  <c:v>42155</c:v>
                </c:pt>
                <c:pt idx="17">
                  <c:v>42185</c:v>
                </c:pt>
                <c:pt idx="18">
                  <c:v>42216</c:v>
                </c:pt>
                <c:pt idx="19">
                  <c:v>42247</c:v>
                </c:pt>
                <c:pt idx="20">
                  <c:v>42277</c:v>
                </c:pt>
                <c:pt idx="21">
                  <c:v>42308</c:v>
                </c:pt>
                <c:pt idx="22">
                  <c:v>42338</c:v>
                </c:pt>
                <c:pt idx="23">
                  <c:v>42369</c:v>
                </c:pt>
                <c:pt idx="24">
                  <c:v>42400</c:v>
                </c:pt>
                <c:pt idx="25">
                  <c:v>42428</c:v>
                </c:pt>
                <c:pt idx="26">
                  <c:v>42460</c:v>
                </c:pt>
                <c:pt idx="27">
                  <c:v>42490</c:v>
                </c:pt>
                <c:pt idx="28">
                  <c:v>42521</c:v>
                </c:pt>
                <c:pt idx="29">
                  <c:v>42551</c:v>
                </c:pt>
                <c:pt idx="30">
                  <c:v>42582</c:v>
                </c:pt>
                <c:pt idx="31">
                  <c:v>42613</c:v>
                </c:pt>
                <c:pt idx="32">
                  <c:v>42643</c:v>
                </c:pt>
                <c:pt idx="33">
                  <c:v>42674</c:v>
                </c:pt>
                <c:pt idx="34">
                  <c:v>42704</c:v>
                </c:pt>
                <c:pt idx="35">
                  <c:v>42735</c:v>
                </c:pt>
                <c:pt idx="36">
                  <c:v>42766</c:v>
                </c:pt>
                <c:pt idx="37">
                  <c:v>42794</c:v>
                </c:pt>
                <c:pt idx="38">
                  <c:v>42825</c:v>
                </c:pt>
                <c:pt idx="39">
                  <c:v>42855</c:v>
                </c:pt>
                <c:pt idx="40">
                  <c:v>42886</c:v>
                </c:pt>
                <c:pt idx="41">
                  <c:v>42916</c:v>
                </c:pt>
                <c:pt idx="42">
                  <c:v>42947</c:v>
                </c:pt>
                <c:pt idx="43">
                  <c:v>42978</c:v>
                </c:pt>
                <c:pt idx="44">
                  <c:v>43008</c:v>
                </c:pt>
                <c:pt idx="45">
                  <c:v>43039</c:v>
                </c:pt>
                <c:pt idx="46">
                  <c:v>43069</c:v>
                </c:pt>
                <c:pt idx="47">
                  <c:v>43100</c:v>
                </c:pt>
                <c:pt idx="48">
                  <c:v>43131</c:v>
                </c:pt>
                <c:pt idx="49">
                  <c:v>43159</c:v>
                </c:pt>
                <c:pt idx="50">
                  <c:v>43190</c:v>
                </c:pt>
                <c:pt idx="51">
                  <c:v>43220</c:v>
                </c:pt>
                <c:pt idx="52">
                  <c:v>43251</c:v>
                </c:pt>
                <c:pt idx="53">
                  <c:v>43281</c:v>
                </c:pt>
                <c:pt idx="54">
                  <c:v>43312</c:v>
                </c:pt>
                <c:pt idx="55">
                  <c:v>43343</c:v>
                </c:pt>
                <c:pt idx="56">
                  <c:v>43373</c:v>
                </c:pt>
                <c:pt idx="57">
                  <c:v>43404</c:v>
                </c:pt>
                <c:pt idx="58">
                  <c:v>43434</c:v>
                </c:pt>
                <c:pt idx="59">
                  <c:v>43465</c:v>
                </c:pt>
                <c:pt idx="60">
                  <c:v>43496</c:v>
                </c:pt>
                <c:pt idx="61">
                  <c:v>43524</c:v>
                </c:pt>
                <c:pt idx="62">
                  <c:v>43555</c:v>
                </c:pt>
                <c:pt idx="63">
                  <c:v>43585</c:v>
                </c:pt>
                <c:pt idx="64">
                  <c:v>43616</c:v>
                </c:pt>
                <c:pt idx="65">
                  <c:v>43646</c:v>
                </c:pt>
                <c:pt idx="66">
                  <c:v>43677</c:v>
                </c:pt>
                <c:pt idx="67">
                  <c:v>43708</c:v>
                </c:pt>
                <c:pt idx="68">
                  <c:v>43738</c:v>
                </c:pt>
                <c:pt idx="69">
                  <c:v>43769</c:v>
                </c:pt>
                <c:pt idx="70">
                  <c:v>43799</c:v>
                </c:pt>
                <c:pt idx="71">
                  <c:v>43830</c:v>
                </c:pt>
                <c:pt idx="72">
                  <c:v>43861</c:v>
                </c:pt>
                <c:pt idx="73">
                  <c:v>43889</c:v>
                </c:pt>
                <c:pt idx="74">
                  <c:v>43921</c:v>
                </c:pt>
                <c:pt idx="75">
                  <c:v>43951</c:v>
                </c:pt>
                <c:pt idx="76">
                  <c:v>43982</c:v>
                </c:pt>
                <c:pt idx="77">
                  <c:v>44012</c:v>
                </c:pt>
                <c:pt idx="78">
                  <c:v>44043</c:v>
                </c:pt>
                <c:pt idx="79">
                  <c:v>44074</c:v>
                </c:pt>
                <c:pt idx="80">
                  <c:v>44104</c:v>
                </c:pt>
                <c:pt idx="81">
                  <c:v>44135</c:v>
                </c:pt>
                <c:pt idx="82">
                  <c:v>44165</c:v>
                </c:pt>
                <c:pt idx="83">
                  <c:v>44196</c:v>
                </c:pt>
                <c:pt idx="84">
                  <c:v>44227</c:v>
                </c:pt>
                <c:pt idx="85">
                  <c:v>44255</c:v>
                </c:pt>
                <c:pt idx="86">
                  <c:v>44286</c:v>
                </c:pt>
                <c:pt idx="87">
                  <c:v>44316</c:v>
                </c:pt>
                <c:pt idx="88">
                  <c:v>44347</c:v>
                </c:pt>
                <c:pt idx="89">
                  <c:v>44377</c:v>
                </c:pt>
                <c:pt idx="90">
                  <c:v>44408</c:v>
                </c:pt>
                <c:pt idx="91">
                  <c:v>44438</c:v>
                </c:pt>
                <c:pt idx="92">
                  <c:v>44469</c:v>
                </c:pt>
                <c:pt idx="93">
                  <c:v>44500</c:v>
                </c:pt>
                <c:pt idx="94">
                  <c:v>44530</c:v>
                </c:pt>
                <c:pt idx="95">
                  <c:v>44561</c:v>
                </c:pt>
                <c:pt idx="96">
                  <c:v>44592</c:v>
                </c:pt>
                <c:pt idx="97">
                  <c:v>44620</c:v>
                </c:pt>
                <c:pt idx="98">
                  <c:v>44651</c:v>
                </c:pt>
                <c:pt idx="99">
                  <c:v>44681</c:v>
                </c:pt>
                <c:pt idx="100">
                  <c:v>44712</c:v>
                </c:pt>
                <c:pt idx="101">
                  <c:v>44742</c:v>
                </c:pt>
                <c:pt idx="102">
                  <c:v>44773</c:v>
                </c:pt>
                <c:pt idx="103">
                  <c:v>44803</c:v>
                </c:pt>
                <c:pt idx="104">
                  <c:v>44834</c:v>
                </c:pt>
                <c:pt idx="105">
                  <c:v>44865</c:v>
                </c:pt>
                <c:pt idx="106">
                  <c:v>44895</c:v>
                </c:pt>
                <c:pt idx="107">
                  <c:v>44926</c:v>
                </c:pt>
              </c:numCache>
            </c:numRef>
          </c:cat>
          <c:val>
            <c:numRef>
              <c:f>'PLE Financial History'!$C$124:$DF$124</c:f>
              <c:numCache>
                <c:formatCode>"$"#,##0</c:formatCode>
                <c:ptCount val="108"/>
                <c:pt idx="24">
                  <c:v>7081.1666666666661</c:v>
                </c:pt>
                <c:pt idx="25">
                  <c:v>7161.6666666666661</c:v>
                </c:pt>
                <c:pt idx="26">
                  <c:v>7242.1666666666661</c:v>
                </c:pt>
                <c:pt idx="27">
                  <c:v>7322.6666666666661</c:v>
                </c:pt>
                <c:pt idx="28">
                  <c:v>7403.1666666666661</c:v>
                </c:pt>
                <c:pt idx="29">
                  <c:v>7483.6666666666661</c:v>
                </c:pt>
                <c:pt idx="30">
                  <c:v>7564.1666666666661</c:v>
                </c:pt>
                <c:pt idx="31">
                  <c:v>7644.6666666666661</c:v>
                </c:pt>
                <c:pt idx="32">
                  <c:v>7725.1666666666661</c:v>
                </c:pt>
                <c:pt idx="33">
                  <c:v>7805.6666666666661</c:v>
                </c:pt>
                <c:pt idx="34">
                  <c:v>7886.1666666666661</c:v>
                </c:pt>
                <c:pt idx="35">
                  <c:v>7966.6666666666661</c:v>
                </c:pt>
                <c:pt idx="36">
                  <c:v>8047.1666666666661</c:v>
                </c:pt>
                <c:pt idx="37">
                  <c:v>8127.6666666666661</c:v>
                </c:pt>
                <c:pt idx="38">
                  <c:v>8208.1666666666661</c:v>
                </c:pt>
                <c:pt idx="39">
                  <c:v>8288.6666666666661</c:v>
                </c:pt>
                <c:pt idx="40">
                  <c:v>8369.1666666666661</c:v>
                </c:pt>
                <c:pt idx="41">
                  <c:v>8449.6666666666661</c:v>
                </c:pt>
                <c:pt idx="42">
                  <c:v>8530.1666666666661</c:v>
                </c:pt>
                <c:pt idx="43">
                  <c:v>8610.6666666666661</c:v>
                </c:pt>
                <c:pt idx="44">
                  <c:v>8691.1666666666661</c:v>
                </c:pt>
                <c:pt idx="45">
                  <c:v>8771.6666666666661</c:v>
                </c:pt>
                <c:pt idx="46">
                  <c:v>8852.1666666666661</c:v>
                </c:pt>
                <c:pt idx="47">
                  <c:v>8933.3333333333321</c:v>
                </c:pt>
                <c:pt idx="48">
                  <c:v>9013.9333333333325</c:v>
                </c:pt>
                <c:pt idx="49">
                  <c:v>9094.5333333333328</c:v>
                </c:pt>
                <c:pt idx="50">
                  <c:v>9175.1333333333332</c:v>
                </c:pt>
                <c:pt idx="51">
                  <c:v>9255.7333333333336</c:v>
                </c:pt>
                <c:pt idx="52">
                  <c:v>9336.3333333333339</c:v>
                </c:pt>
                <c:pt idx="53">
                  <c:v>9416.9333333333343</c:v>
                </c:pt>
                <c:pt idx="54">
                  <c:v>9497.5333333333347</c:v>
                </c:pt>
                <c:pt idx="55">
                  <c:v>9578.133333333335</c:v>
                </c:pt>
                <c:pt idx="56">
                  <c:v>9658.7333333333354</c:v>
                </c:pt>
                <c:pt idx="57">
                  <c:v>9739.3333333333358</c:v>
                </c:pt>
                <c:pt idx="58">
                  <c:v>9819.9333333333361</c:v>
                </c:pt>
                <c:pt idx="59">
                  <c:v>9900</c:v>
                </c:pt>
                <c:pt idx="60">
                  <c:v>9980.6</c:v>
                </c:pt>
                <c:pt idx="61">
                  <c:v>10061.200000000001</c:v>
                </c:pt>
                <c:pt idx="62">
                  <c:v>10141.800000000001</c:v>
                </c:pt>
                <c:pt idx="63">
                  <c:v>10222.400000000001</c:v>
                </c:pt>
                <c:pt idx="64">
                  <c:v>10303.000000000002</c:v>
                </c:pt>
                <c:pt idx="65">
                  <c:v>10383.600000000002</c:v>
                </c:pt>
                <c:pt idx="66">
                  <c:v>10464.200000000003</c:v>
                </c:pt>
                <c:pt idx="67">
                  <c:v>10544.800000000003</c:v>
                </c:pt>
                <c:pt idx="68">
                  <c:v>10625.400000000003</c:v>
                </c:pt>
                <c:pt idx="69">
                  <c:v>10706.000000000004</c:v>
                </c:pt>
                <c:pt idx="70">
                  <c:v>10786.600000000004</c:v>
                </c:pt>
                <c:pt idx="71">
                  <c:v>10866.666666666668</c:v>
                </c:pt>
                <c:pt idx="72">
                  <c:v>10947.166666666668</c:v>
                </c:pt>
                <c:pt idx="73">
                  <c:v>11027.666666666668</c:v>
                </c:pt>
                <c:pt idx="74">
                  <c:v>11108.166666666668</c:v>
                </c:pt>
                <c:pt idx="75">
                  <c:v>11188.666666666668</c:v>
                </c:pt>
                <c:pt idx="76">
                  <c:v>11269.166666666668</c:v>
                </c:pt>
                <c:pt idx="77">
                  <c:v>11349.666666666668</c:v>
                </c:pt>
                <c:pt idx="78">
                  <c:v>11430.166666666668</c:v>
                </c:pt>
                <c:pt idx="79">
                  <c:v>11510.666666666668</c:v>
                </c:pt>
                <c:pt idx="80">
                  <c:v>11591.166666666668</c:v>
                </c:pt>
                <c:pt idx="81">
                  <c:v>11671.666666666668</c:v>
                </c:pt>
                <c:pt idx="82">
                  <c:v>11752.166666666668</c:v>
                </c:pt>
                <c:pt idx="83">
                  <c:v>11833.333333333334</c:v>
                </c:pt>
                <c:pt idx="84">
                  <c:v>11913.933333333334</c:v>
                </c:pt>
                <c:pt idx="85">
                  <c:v>11994.533333333335</c:v>
                </c:pt>
                <c:pt idx="86">
                  <c:v>12075.133333333335</c:v>
                </c:pt>
                <c:pt idx="87">
                  <c:v>12155.733333333335</c:v>
                </c:pt>
                <c:pt idx="88">
                  <c:v>12236.333333333336</c:v>
                </c:pt>
                <c:pt idx="89">
                  <c:v>12316.933333333336</c:v>
                </c:pt>
                <c:pt idx="90">
                  <c:v>12397.533333333336</c:v>
                </c:pt>
                <c:pt idx="91">
                  <c:v>12478.133333333337</c:v>
                </c:pt>
                <c:pt idx="92">
                  <c:v>12558.733333333337</c:v>
                </c:pt>
                <c:pt idx="93">
                  <c:v>12639.333333333338</c:v>
                </c:pt>
                <c:pt idx="94">
                  <c:v>12719.933333333338</c:v>
                </c:pt>
                <c:pt idx="95">
                  <c:v>12800</c:v>
                </c:pt>
                <c:pt idx="96">
                  <c:v>12880.6</c:v>
                </c:pt>
                <c:pt idx="97">
                  <c:v>12961.2</c:v>
                </c:pt>
                <c:pt idx="98">
                  <c:v>13041.800000000001</c:v>
                </c:pt>
                <c:pt idx="99">
                  <c:v>13122.400000000001</c:v>
                </c:pt>
                <c:pt idx="100">
                  <c:v>13203.000000000002</c:v>
                </c:pt>
                <c:pt idx="101">
                  <c:v>13283.600000000002</c:v>
                </c:pt>
                <c:pt idx="102">
                  <c:v>13364.200000000003</c:v>
                </c:pt>
                <c:pt idx="103">
                  <c:v>13444.800000000003</c:v>
                </c:pt>
                <c:pt idx="104">
                  <c:v>13525.400000000003</c:v>
                </c:pt>
                <c:pt idx="105">
                  <c:v>13606.000000000004</c:v>
                </c:pt>
                <c:pt idx="106">
                  <c:v>13686.600000000004</c:v>
                </c:pt>
                <c:pt idx="107">
                  <c:v>13767.200000000004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39-40C3-98C2-5681622649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0537264"/>
        <c:axId val="410538048"/>
        <c:extLst/>
      </c:lineChart>
      <c:dateAx>
        <c:axId val="410537264"/>
        <c:scaling>
          <c:orientation val="minMax"/>
        </c:scaling>
        <c:delete val="0"/>
        <c:axPos val="b"/>
        <c:numFmt formatCode="m/d/yy;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0538048"/>
        <c:crosses val="autoZero"/>
        <c:auto val="1"/>
        <c:lblOffset val="100"/>
        <c:baseTimeUnit val="months"/>
      </c:dateAx>
      <c:valAx>
        <c:axId val="410538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05372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9"/>
        <c:txPr>
          <a:bodyPr rot="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baseline="0">
                <a:solidFill>
                  <a:sysClr val="windowText" lastClr="000000"/>
                </a:solidFill>
              </a:rPr>
              <a:t>Ending Balance By Month: 2019 - 2021</a:t>
            </a:r>
          </a:p>
          <a:p>
            <a:pPr>
              <a:defRPr>
                <a:solidFill>
                  <a:sysClr val="windowText" lastClr="000000"/>
                </a:solidFill>
              </a:defRPr>
            </a:pPr>
            <a:r>
              <a:rPr lang="en-US" baseline="0">
                <a:solidFill>
                  <a:sysClr val="windowText" lastClr="000000"/>
                </a:solidFill>
              </a:rPr>
              <a:t> (2021 estimate as of 12/16/21)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5"/>
          <c:order val="5"/>
          <c:tx>
            <c:strRef>
              <c:f>'PLE Financial History'!$C$108:$D$108</c:f>
              <c:strCache>
                <c:ptCount val="2"/>
                <c:pt idx="0">
                  <c:v>2019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'PLE Financial History'!$BJ$114:$CT$114</c15:sqref>
                  </c15:fullRef>
                </c:ext>
              </c:extLst>
              <c:f>'PLE Financial History'!$BJ$114:$CT$114</c:f>
              <c:numCache>
                <c:formatCode>m/d/yy;@</c:formatCode>
                <c:ptCount val="37"/>
                <c:pt idx="0">
                  <c:v>43465</c:v>
                </c:pt>
                <c:pt idx="1">
                  <c:v>43496</c:v>
                </c:pt>
                <c:pt idx="2">
                  <c:v>43524</c:v>
                </c:pt>
                <c:pt idx="3">
                  <c:v>43555</c:v>
                </c:pt>
                <c:pt idx="4">
                  <c:v>43585</c:v>
                </c:pt>
                <c:pt idx="5">
                  <c:v>43616</c:v>
                </c:pt>
                <c:pt idx="6">
                  <c:v>43646</c:v>
                </c:pt>
                <c:pt idx="7">
                  <c:v>43677</c:v>
                </c:pt>
                <c:pt idx="8">
                  <c:v>43708</c:v>
                </c:pt>
                <c:pt idx="9">
                  <c:v>43738</c:v>
                </c:pt>
                <c:pt idx="10">
                  <c:v>43769</c:v>
                </c:pt>
                <c:pt idx="11">
                  <c:v>43799</c:v>
                </c:pt>
                <c:pt idx="12">
                  <c:v>43830</c:v>
                </c:pt>
                <c:pt idx="13">
                  <c:v>43861</c:v>
                </c:pt>
                <c:pt idx="14">
                  <c:v>43889</c:v>
                </c:pt>
                <c:pt idx="15">
                  <c:v>43921</c:v>
                </c:pt>
                <c:pt idx="16">
                  <c:v>43951</c:v>
                </c:pt>
                <c:pt idx="17">
                  <c:v>43982</c:v>
                </c:pt>
                <c:pt idx="18">
                  <c:v>44012</c:v>
                </c:pt>
                <c:pt idx="19">
                  <c:v>44043</c:v>
                </c:pt>
                <c:pt idx="20">
                  <c:v>44074</c:v>
                </c:pt>
                <c:pt idx="21">
                  <c:v>44104</c:v>
                </c:pt>
                <c:pt idx="22">
                  <c:v>44135</c:v>
                </c:pt>
                <c:pt idx="23">
                  <c:v>44165</c:v>
                </c:pt>
                <c:pt idx="24">
                  <c:v>44196</c:v>
                </c:pt>
                <c:pt idx="25">
                  <c:v>44227</c:v>
                </c:pt>
                <c:pt idx="26">
                  <c:v>44255</c:v>
                </c:pt>
                <c:pt idx="27">
                  <c:v>44286</c:v>
                </c:pt>
                <c:pt idx="28">
                  <c:v>44316</c:v>
                </c:pt>
                <c:pt idx="29">
                  <c:v>44347</c:v>
                </c:pt>
                <c:pt idx="30">
                  <c:v>44377</c:v>
                </c:pt>
                <c:pt idx="31">
                  <c:v>44408</c:v>
                </c:pt>
                <c:pt idx="32">
                  <c:v>44438</c:v>
                </c:pt>
                <c:pt idx="33">
                  <c:v>44469</c:v>
                </c:pt>
                <c:pt idx="34">
                  <c:v>44500</c:v>
                </c:pt>
                <c:pt idx="35">
                  <c:v>44530</c:v>
                </c:pt>
                <c:pt idx="36">
                  <c:v>44561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'PLE Financial History'!$BJ$120:$CU$120</c15:sqref>
                  </c15:fullRef>
                </c:ext>
              </c:extLst>
              <c:f>'PLE Financial History'!$BJ$120:$CT$120</c:f>
              <c:numCache>
                <c:formatCode>"$"#,##0</c:formatCode>
                <c:ptCount val="37"/>
                <c:pt idx="0">
                  <c:v>23374.07</c:v>
                </c:pt>
                <c:pt idx="1">
                  <c:v>22821.07</c:v>
                </c:pt>
                <c:pt idx="2">
                  <c:v>22758.57</c:v>
                </c:pt>
                <c:pt idx="3">
                  <c:v>31275.57</c:v>
                </c:pt>
                <c:pt idx="4">
                  <c:v>34588.07</c:v>
                </c:pt>
                <c:pt idx="5">
                  <c:v>34525.57</c:v>
                </c:pt>
                <c:pt idx="6">
                  <c:v>31636.32</c:v>
                </c:pt>
                <c:pt idx="7">
                  <c:v>31573.82</c:v>
                </c:pt>
                <c:pt idx="8">
                  <c:v>31511.32</c:v>
                </c:pt>
                <c:pt idx="9">
                  <c:v>29839.989999999998</c:v>
                </c:pt>
                <c:pt idx="10">
                  <c:v>22837.829999999998</c:v>
                </c:pt>
                <c:pt idx="11">
                  <c:v>19630.059999999998</c:v>
                </c:pt>
                <c:pt idx="12">
                  <c:v>17009.909999999996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F7E-415C-9478-5F36D428BBF5}"/>
            </c:ext>
          </c:extLst>
        </c:ser>
        <c:ser>
          <c:idx val="6"/>
          <c:order val="6"/>
          <c:tx>
            <c:v>2020</c:v>
          </c:tx>
          <c:spPr>
            <a:ln w="28575" cap="rnd">
              <a:solidFill>
                <a:srgbClr val="0000FF"/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'PLE Financial History'!$BJ$114:$CT$114</c15:sqref>
                  </c15:fullRef>
                </c:ext>
              </c:extLst>
              <c:f>'PLE Financial History'!$BJ$114:$CT$114</c:f>
              <c:numCache>
                <c:formatCode>m/d/yy;@</c:formatCode>
                <c:ptCount val="37"/>
                <c:pt idx="0">
                  <c:v>43465</c:v>
                </c:pt>
                <c:pt idx="1">
                  <c:v>43496</c:v>
                </c:pt>
                <c:pt idx="2">
                  <c:v>43524</c:v>
                </c:pt>
                <c:pt idx="3">
                  <c:v>43555</c:v>
                </c:pt>
                <c:pt idx="4">
                  <c:v>43585</c:v>
                </c:pt>
                <c:pt idx="5">
                  <c:v>43616</c:v>
                </c:pt>
                <c:pt idx="6">
                  <c:v>43646</c:v>
                </c:pt>
                <c:pt idx="7">
                  <c:v>43677</c:v>
                </c:pt>
                <c:pt idx="8">
                  <c:v>43708</c:v>
                </c:pt>
                <c:pt idx="9">
                  <c:v>43738</c:v>
                </c:pt>
                <c:pt idx="10">
                  <c:v>43769</c:v>
                </c:pt>
                <c:pt idx="11">
                  <c:v>43799</c:v>
                </c:pt>
                <c:pt idx="12">
                  <c:v>43830</c:v>
                </c:pt>
                <c:pt idx="13">
                  <c:v>43861</c:v>
                </c:pt>
                <c:pt idx="14">
                  <c:v>43889</c:v>
                </c:pt>
                <c:pt idx="15">
                  <c:v>43921</c:v>
                </c:pt>
                <c:pt idx="16">
                  <c:v>43951</c:v>
                </c:pt>
                <c:pt idx="17">
                  <c:v>43982</c:v>
                </c:pt>
                <c:pt idx="18">
                  <c:v>44012</c:v>
                </c:pt>
                <c:pt idx="19">
                  <c:v>44043</c:v>
                </c:pt>
                <c:pt idx="20">
                  <c:v>44074</c:v>
                </c:pt>
                <c:pt idx="21">
                  <c:v>44104</c:v>
                </c:pt>
                <c:pt idx="22">
                  <c:v>44135</c:v>
                </c:pt>
                <c:pt idx="23">
                  <c:v>44165</c:v>
                </c:pt>
                <c:pt idx="24">
                  <c:v>44196</c:v>
                </c:pt>
                <c:pt idx="25">
                  <c:v>44227</c:v>
                </c:pt>
                <c:pt idx="26">
                  <c:v>44255</c:v>
                </c:pt>
                <c:pt idx="27">
                  <c:v>44286</c:v>
                </c:pt>
                <c:pt idx="28">
                  <c:v>44316</c:v>
                </c:pt>
                <c:pt idx="29">
                  <c:v>44347</c:v>
                </c:pt>
                <c:pt idx="30">
                  <c:v>44377</c:v>
                </c:pt>
                <c:pt idx="31">
                  <c:v>44408</c:v>
                </c:pt>
                <c:pt idx="32">
                  <c:v>44438</c:v>
                </c:pt>
                <c:pt idx="33">
                  <c:v>44469</c:v>
                </c:pt>
                <c:pt idx="34">
                  <c:v>44500</c:v>
                </c:pt>
                <c:pt idx="35">
                  <c:v>44530</c:v>
                </c:pt>
                <c:pt idx="36">
                  <c:v>44561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'PLE Financial History'!$BJ$121:$CU$121</c15:sqref>
                  </c15:fullRef>
                </c:ext>
              </c:extLst>
              <c:f>'PLE Financial History'!$BJ$121:$CT$121</c:f>
              <c:numCache>
                <c:formatCode>"$"#,##0</c:formatCode>
                <c:ptCount val="37"/>
                <c:pt idx="12">
                  <c:v>17009.909999999996</c:v>
                </c:pt>
                <c:pt idx="13">
                  <c:v>16354.059999999996</c:v>
                </c:pt>
                <c:pt idx="14">
                  <c:v>19623.879999999997</c:v>
                </c:pt>
                <c:pt idx="15">
                  <c:v>27238.799999999996</c:v>
                </c:pt>
                <c:pt idx="16">
                  <c:v>26485.779999999995</c:v>
                </c:pt>
                <c:pt idx="17">
                  <c:v>24990.849999999995</c:v>
                </c:pt>
                <c:pt idx="18">
                  <c:v>23037.489999999994</c:v>
                </c:pt>
                <c:pt idx="19">
                  <c:v>23050.709999999995</c:v>
                </c:pt>
                <c:pt idx="20">
                  <c:v>22069.449999999997</c:v>
                </c:pt>
                <c:pt idx="21">
                  <c:v>20729.369999999995</c:v>
                </c:pt>
                <c:pt idx="22">
                  <c:v>19761.379999999994</c:v>
                </c:pt>
                <c:pt idx="23">
                  <c:v>18742.459999999992</c:v>
                </c:pt>
                <c:pt idx="24">
                  <c:v>17748.039999999994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F7E-415C-9478-5F36D428BBF5}"/>
            </c:ext>
          </c:extLst>
        </c:ser>
        <c:ser>
          <c:idx val="7"/>
          <c:order val="7"/>
          <c:tx>
            <c:v>2021</c:v>
          </c:tx>
          <c:spPr>
            <a:ln w="28575" cap="rnd">
              <a:solidFill>
                <a:srgbClr val="33CC33"/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'PLE Financial History'!$BJ$114:$CT$114</c15:sqref>
                  </c15:fullRef>
                </c:ext>
              </c:extLst>
              <c:f>'PLE Financial History'!$BJ$114:$CT$114</c:f>
              <c:numCache>
                <c:formatCode>m/d/yy;@</c:formatCode>
                <c:ptCount val="37"/>
                <c:pt idx="0">
                  <c:v>43465</c:v>
                </c:pt>
                <c:pt idx="1">
                  <c:v>43496</c:v>
                </c:pt>
                <c:pt idx="2">
                  <c:v>43524</c:v>
                </c:pt>
                <c:pt idx="3">
                  <c:v>43555</c:v>
                </c:pt>
                <c:pt idx="4">
                  <c:v>43585</c:v>
                </c:pt>
                <c:pt idx="5">
                  <c:v>43616</c:v>
                </c:pt>
                <c:pt idx="6">
                  <c:v>43646</c:v>
                </c:pt>
                <c:pt idx="7">
                  <c:v>43677</c:v>
                </c:pt>
                <c:pt idx="8">
                  <c:v>43708</c:v>
                </c:pt>
                <c:pt idx="9">
                  <c:v>43738</c:v>
                </c:pt>
                <c:pt idx="10">
                  <c:v>43769</c:v>
                </c:pt>
                <c:pt idx="11">
                  <c:v>43799</c:v>
                </c:pt>
                <c:pt idx="12">
                  <c:v>43830</c:v>
                </c:pt>
                <c:pt idx="13">
                  <c:v>43861</c:v>
                </c:pt>
                <c:pt idx="14">
                  <c:v>43889</c:v>
                </c:pt>
                <c:pt idx="15">
                  <c:v>43921</c:v>
                </c:pt>
                <c:pt idx="16">
                  <c:v>43951</c:v>
                </c:pt>
                <c:pt idx="17">
                  <c:v>43982</c:v>
                </c:pt>
                <c:pt idx="18">
                  <c:v>44012</c:v>
                </c:pt>
                <c:pt idx="19">
                  <c:v>44043</c:v>
                </c:pt>
                <c:pt idx="20">
                  <c:v>44074</c:v>
                </c:pt>
                <c:pt idx="21">
                  <c:v>44104</c:v>
                </c:pt>
                <c:pt idx="22">
                  <c:v>44135</c:v>
                </c:pt>
                <c:pt idx="23">
                  <c:v>44165</c:v>
                </c:pt>
                <c:pt idx="24">
                  <c:v>44196</c:v>
                </c:pt>
                <c:pt idx="25">
                  <c:v>44227</c:v>
                </c:pt>
                <c:pt idx="26">
                  <c:v>44255</c:v>
                </c:pt>
                <c:pt idx="27">
                  <c:v>44286</c:v>
                </c:pt>
                <c:pt idx="28">
                  <c:v>44316</c:v>
                </c:pt>
                <c:pt idx="29">
                  <c:v>44347</c:v>
                </c:pt>
                <c:pt idx="30">
                  <c:v>44377</c:v>
                </c:pt>
                <c:pt idx="31">
                  <c:v>44408</c:v>
                </c:pt>
                <c:pt idx="32">
                  <c:v>44438</c:v>
                </c:pt>
                <c:pt idx="33">
                  <c:v>44469</c:v>
                </c:pt>
                <c:pt idx="34">
                  <c:v>44500</c:v>
                </c:pt>
                <c:pt idx="35">
                  <c:v>44530</c:v>
                </c:pt>
                <c:pt idx="36">
                  <c:v>44561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'PLE Financial History'!$BJ$122:$CU$122</c15:sqref>
                  </c15:fullRef>
                </c:ext>
              </c:extLst>
              <c:f>'PLE Financial History'!$BJ$122:$CT$122</c:f>
              <c:numCache>
                <c:formatCode>"$"#,##0</c:formatCode>
                <c:ptCount val="37"/>
                <c:pt idx="24">
                  <c:v>17748.039999999994</c:v>
                </c:pt>
                <c:pt idx="25">
                  <c:v>17107.959999999995</c:v>
                </c:pt>
                <c:pt idx="26">
                  <c:v>16467.879999999994</c:v>
                </c:pt>
                <c:pt idx="27">
                  <c:v>16377.799999999994</c:v>
                </c:pt>
                <c:pt idx="28">
                  <c:v>28087.719999999994</c:v>
                </c:pt>
                <c:pt idx="29">
                  <c:v>27185.639999999992</c:v>
                </c:pt>
                <c:pt idx="30">
                  <c:v>26773.299999999992</c:v>
                </c:pt>
                <c:pt idx="31">
                  <c:v>25539.679999999993</c:v>
                </c:pt>
                <c:pt idx="32">
                  <c:v>25034.339999999993</c:v>
                </c:pt>
                <c:pt idx="33">
                  <c:v>24944.259999999991</c:v>
                </c:pt>
                <c:pt idx="34">
                  <c:v>23754.179999999993</c:v>
                </c:pt>
                <c:pt idx="35">
                  <c:v>23114.099999999991</c:v>
                </c:pt>
                <c:pt idx="36">
                  <c:v>22706.149999999991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7F7E-415C-9478-5F36D428BBF5}"/>
            </c:ext>
          </c:extLst>
        </c:ser>
        <c:ser>
          <c:idx val="8"/>
          <c:order val="8"/>
          <c:tx>
            <c:v>FA &amp; 3 Mo Reserve</c:v>
          </c:tx>
          <c:spPr>
            <a:ln w="19050" cap="rnd">
              <a:solidFill>
                <a:schemeClr val="bg1">
                  <a:lumMod val="65000"/>
                </a:schemeClr>
              </a:solidFill>
              <a:prstDash val="lgDash"/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'PLE Financial History'!$BJ$114:$CT$114</c15:sqref>
                  </c15:fullRef>
                </c:ext>
              </c:extLst>
              <c:f>'PLE Financial History'!$BJ$114:$CT$114</c:f>
              <c:numCache>
                <c:formatCode>m/d/yy;@</c:formatCode>
                <c:ptCount val="37"/>
                <c:pt idx="0">
                  <c:v>43465</c:v>
                </c:pt>
                <c:pt idx="1">
                  <c:v>43496</c:v>
                </c:pt>
                <c:pt idx="2">
                  <c:v>43524</c:v>
                </c:pt>
                <c:pt idx="3">
                  <c:v>43555</c:v>
                </c:pt>
                <c:pt idx="4">
                  <c:v>43585</c:v>
                </c:pt>
                <c:pt idx="5">
                  <c:v>43616</c:v>
                </c:pt>
                <c:pt idx="6">
                  <c:v>43646</c:v>
                </c:pt>
                <c:pt idx="7">
                  <c:v>43677</c:v>
                </c:pt>
                <c:pt idx="8">
                  <c:v>43708</c:v>
                </c:pt>
                <c:pt idx="9">
                  <c:v>43738</c:v>
                </c:pt>
                <c:pt idx="10">
                  <c:v>43769</c:v>
                </c:pt>
                <c:pt idx="11">
                  <c:v>43799</c:v>
                </c:pt>
                <c:pt idx="12">
                  <c:v>43830</c:v>
                </c:pt>
                <c:pt idx="13">
                  <c:v>43861</c:v>
                </c:pt>
                <c:pt idx="14">
                  <c:v>43889</c:v>
                </c:pt>
                <c:pt idx="15">
                  <c:v>43921</c:v>
                </c:pt>
                <c:pt idx="16">
                  <c:v>43951</c:v>
                </c:pt>
                <c:pt idx="17">
                  <c:v>43982</c:v>
                </c:pt>
                <c:pt idx="18">
                  <c:v>44012</c:v>
                </c:pt>
                <c:pt idx="19">
                  <c:v>44043</c:v>
                </c:pt>
                <c:pt idx="20">
                  <c:v>44074</c:v>
                </c:pt>
                <c:pt idx="21">
                  <c:v>44104</c:v>
                </c:pt>
                <c:pt idx="22">
                  <c:v>44135</c:v>
                </c:pt>
                <c:pt idx="23">
                  <c:v>44165</c:v>
                </c:pt>
                <c:pt idx="24">
                  <c:v>44196</c:v>
                </c:pt>
                <c:pt idx="25">
                  <c:v>44227</c:v>
                </c:pt>
                <c:pt idx="26">
                  <c:v>44255</c:v>
                </c:pt>
                <c:pt idx="27">
                  <c:v>44286</c:v>
                </c:pt>
                <c:pt idx="28">
                  <c:v>44316</c:v>
                </c:pt>
                <c:pt idx="29">
                  <c:v>44347</c:v>
                </c:pt>
                <c:pt idx="30">
                  <c:v>44377</c:v>
                </c:pt>
                <c:pt idx="31">
                  <c:v>44408</c:v>
                </c:pt>
                <c:pt idx="32">
                  <c:v>44438</c:v>
                </c:pt>
                <c:pt idx="33">
                  <c:v>44469</c:v>
                </c:pt>
                <c:pt idx="34">
                  <c:v>44500</c:v>
                </c:pt>
                <c:pt idx="35">
                  <c:v>44530</c:v>
                </c:pt>
                <c:pt idx="36">
                  <c:v>44561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'PLE Financial History'!$BJ$124:$CU$124</c15:sqref>
                  </c15:fullRef>
                </c:ext>
              </c:extLst>
              <c:f>'PLE Financial History'!$BJ$124:$CT$124</c:f>
              <c:numCache>
                <c:formatCode>"$"#,##0</c:formatCode>
                <c:ptCount val="37"/>
                <c:pt idx="0">
                  <c:v>9900</c:v>
                </c:pt>
                <c:pt idx="1">
                  <c:v>9980.6</c:v>
                </c:pt>
                <c:pt idx="2">
                  <c:v>10061.200000000001</c:v>
                </c:pt>
                <c:pt idx="3">
                  <c:v>10141.800000000001</c:v>
                </c:pt>
                <c:pt idx="4">
                  <c:v>10222.400000000001</c:v>
                </c:pt>
                <c:pt idx="5">
                  <c:v>10303.000000000002</c:v>
                </c:pt>
                <c:pt idx="6">
                  <c:v>10383.600000000002</c:v>
                </c:pt>
                <c:pt idx="7">
                  <c:v>10464.200000000003</c:v>
                </c:pt>
                <c:pt idx="8">
                  <c:v>10544.800000000003</c:v>
                </c:pt>
                <c:pt idx="9">
                  <c:v>10625.400000000003</c:v>
                </c:pt>
                <c:pt idx="10">
                  <c:v>10706.000000000004</c:v>
                </c:pt>
                <c:pt idx="11">
                  <c:v>10786.600000000004</c:v>
                </c:pt>
                <c:pt idx="12">
                  <c:v>10866.666666666668</c:v>
                </c:pt>
                <c:pt idx="13">
                  <c:v>10947.166666666668</c:v>
                </c:pt>
                <c:pt idx="14">
                  <c:v>11027.666666666668</c:v>
                </c:pt>
                <c:pt idx="15">
                  <c:v>11108.166666666668</c:v>
                </c:pt>
                <c:pt idx="16">
                  <c:v>11188.666666666668</c:v>
                </c:pt>
                <c:pt idx="17">
                  <c:v>11269.166666666668</c:v>
                </c:pt>
                <c:pt idx="18">
                  <c:v>11349.666666666668</c:v>
                </c:pt>
                <c:pt idx="19">
                  <c:v>11430.166666666668</c:v>
                </c:pt>
                <c:pt idx="20">
                  <c:v>11510.666666666668</c:v>
                </c:pt>
                <c:pt idx="21">
                  <c:v>11591.166666666668</c:v>
                </c:pt>
                <c:pt idx="22">
                  <c:v>11671.666666666668</c:v>
                </c:pt>
                <c:pt idx="23">
                  <c:v>11752.166666666668</c:v>
                </c:pt>
                <c:pt idx="24">
                  <c:v>11833.333333333334</c:v>
                </c:pt>
                <c:pt idx="25">
                  <c:v>11913.933333333334</c:v>
                </c:pt>
                <c:pt idx="26">
                  <c:v>11994.533333333335</c:v>
                </c:pt>
                <c:pt idx="27">
                  <c:v>12075.133333333335</c:v>
                </c:pt>
                <c:pt idx="28">
                  <c:v>12155.733333333335</c:v>
                </c:pt>
                <c:pt idx="29">
                  <c:v>12236.333333333336</c:v>
                </c:pt>
                <c:pt idx="30">
                  <c:v>12316.933333333336</c:v>
                </c:pt>
                <c:pt idx="31">
                  <c:v>12397.533333333336</c:v>
                </c:pt>
                <c:pt idx="32">
                  <c:v>12478.133333333337</c:v>
                </c:pt>
                <c:pt idx="33">
                  <c:v>12558.733333333337</c:v>
                </c:pt>
                <c:pt idx="34">
                  <c:v>12639.333333333338</c:v>
                </c:pt>
                <c:pt idx="35">
                  <c:v>12719.933333333338</c:v>
                </c:pt>
                <c:pt idx="36">
                  <c:v>12800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FF-490A-9A68-437C266D35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0537264"/>
        <c:axId val="410538048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v>2014</c:v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ullRef>
                          <c15:sqref>'PLE Financial History'!$BJ$114:$CT$114</c15:sqref>
                        </c15:fullRef>
                        <c15:formulaRef>
                          <c15:sqref>'PLE Financial History'!$BJ$114:$CT$114</c15:sqref>
                        </c15:formulaRef>
                      </c:ext>
                    </c:extLst>
                    <c:numCache>
                      <c:formatCode>m/d/yy;@</c:formatCode>
                      <c:ptCount val="37"/>
                      <c:pt idx="0">
                        <c:v>43465</c:v>
                      </c:pt>
                      <c:pt idx="1">
                        <c:v>43496</c:v>
                      </c:pt>
                      <c:pt idx="2">
                        <c:v>43524</c:v>
                      </c:pt>
                      <c:pt idx="3">
                        <c:v>43555</c:v>
                      </c:pt>
                      <c:pt idx="4">
                        <c:v>43585</c:v>
                      </c:pt>
                      <c:pt idx="5">
                        <c:v>43616</c:v>
                      </c:pt>
                      <c:pt idx="6">
                        <c:v>43646</c:v>
                      </c:pt>
                      <c:pt idx="7">
                        <c:v>43677</c:v>
                      </c:pt>
                      <c:pt idx="8">
                        <c:v>43708</c:v>
                      </c:pt>
                      <c:pt idx="9">
                        <c:v>43738</c:v>
                      </c:pt>
                      <c:pt idx="10">
                        <c:v>43769</c:v>
                      </c:pt>
                      <c:pt idx="11">
                        <c:v>43799</c:v>
                      </c:pt>
                      <c:pt idx="12">
                        <c:v>43830</c:v>
                      </c:pt>
                      <c:pt idx="13">
                        <c:v>43861</c:v>
                      </c:pt>
                      <c:pt idx="14">
                        <c:v>43889</c:v>
                      </c:pt>
                      <c:pt idx="15">
                        <c:v>43921</c:v>
                      </c:pt>
                      <c:pt idx="16">
                        <c:v>43951</c:v>
                      </c:pt>
                      <c:pt idx="17">
                        <c:v>43982</c:v>
                      </c:pt>
                      <c:pt idx="18">
                        <c:v>44012</c:v>
                      </c:pt>
                      <c:pt idx="19">
                        <c:v>44043</c:v>
                      </c:pt>
                      <c:pt idx="20">
                        <c:v>44074</c:v>
                      </c:pt>
                      <c:pt idx="21">
                        <c:v>44104</c:v>
                      </c:pt>
                      <c:pt idx="22">
                        <c:v>44135</c:v>
                      </c:pt>
                      <c:pt idx="23">
                        <c:v>44165</c:v>
                      </c:pt>
                      <c:pt idx="24">
                        <c:v>44196</c:v>
                      </c:pt>
                      <c:pt idx="25">
                        <c:v>44227</c:v>
                      </c:pt>
                      <c:pt idx="26">
                        <c:v>44255</c:v>
                      </c:pt>
                      <c:pt idx="27">
                        <c:v>44286</c:v>
                      </c:pt>
                      <c:pt idx="28">
                        <c:v>44316</c:v>
                      </c:pt>
                      <c:pt idx="29">
                        <c:v>44347</c:v>
                      </c:pt>
                      <c:pt idx="30">
                        <c:v>44377</c:v>
                      </c:pt>
                      <c:pt idx="31">
                        <c:v>44408</c:v>
                      </c:pt>
                      <c:pt idx="32">
                        <c:v>44438</c:v>
                      </c:pt>
                      <c:pt idx="33">
                        <c:v>44469</c:v>
                      </c:pt>
                      <c:pt idx="34">
                        <c:v>44500</c:v>
                      </c:pt>
                      <c:pt idx="35">
                        <c:v>44530</c:v>
                      </c:pt>
                      <c:pt idx="36">
                        <c:v>44561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ullRef>
                          <c15:sqref>'PLE Financial History'!$C$115:$CU$115</c15:sqref>
                        </c15:fullRef>
                        <c15:formulaRef>
                          <c15:sqref>('PLE Financial History'!$C$115:$AM$115,'PLE Financial History'!$AO$115:$CU$115)</c15:sqref>
                        </c15:formulaRef>
                      </c:ext>
                    </c:extLst>
                    <c:numCache>
                      <c:formatCode>"$"#,##0</c:formatCode>
                      <c:ptCount val="96"/>
                      <c:pt idx="0">
                        <c:v>26217.55</c:v>
                      </c:pt>
                      <c:pt idx="1">
                        <c:v>25610.5</c:v>
                      </c:pt>
                      <c:pt idx="2">
                        <c:v>22992.850000000002</c:v>
                      </c:pt>
                      <c:pt idx="3">
                        <c:v>32106.78</c:v>
                      </c:pt>
                      <c:pt idx="4">
                        <c:v>33597.889999999992</c:v>
                      </c:pt>
                      <c:pt idx="5">
                        <c:v>33720.639999999992</c:v>
                      </c:pt>
                      <c:pt idx="6">
                        <c:v>32682.28999999999</c:v>
                      </c:pt>
                      <c:pt idx="7">
                        <c:v>32574.35999999999</c:v>
                      </c:pt>
                      <c:pt idx="8">
                        <c:v>32000.149999999987</c:v>
                      </c:pt>
                      <c:pt idx="9">
                        <c:v>29908.169999999987</c:v>
                      </c:pt>
                      <c:pt idx="10">
                        <c:v>28920.459999999985</c:v>
                      </c:pt>
                      <c:pt idx="11">
                        <c:v>28293.219999999987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7F7E-415C-9478-5F36D428BBF5}"/>
                  </c:ext>
                </c:extLst>
              </c15:ser>
            </c15:filteredLineSeries>
            <c15:filteredLin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'PLE Financial History'!$C$104:$D$104</c15:sqref>
                        </c15:formulaRef>
                      </c:ext>
                    </c:extLst>
                    <c:strCache>
                      <c:ptCount val="2"/>
                      <c:pt idx="0">
                        <c:v>2015</c:v>
                      </c:pt>
                    </c:strCache>
                  </c:strRef>
                </c:tx>
                <c:spPr>
                  <a:ln w="28575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'PLE Financial History'!$BJ$114:$CT$114</c15:sqref>
                        </c15:fullRef>
                        <c15:formulaRef>
                          <c15:sqref>'PLE Financial History'!$BJ$114:$CT$114</c15:sqref>
                        </c15:formulaRef>
                      </c:ext>
                    </c:extLst>
                    <c:numCache>
                      <c:formatCode>m/d/yy;@</c:formatCode>
                      <c:ptCount val="37"/>
                      <c:pt idx="0">
                        <c:v>43465</c:v>
                      </c:pt>
                      <c:pt idx="1">
                        <c:v>43496</c:v>
                      </c:pt>
                      <c:pt idx="2">
                        <c:v>43524</c:v>
                      </c:pt>
                      <c:pt idx="3">
                        <c:v>43555</c:v>
                      </c:pt>
                      <c:pt idx="4">
                        <c:v>43585</c:v>
                      </c:pt>
                      <c:pt idx="5">
                        <c:v>43616</c:v>
                      </c:pt>
                      <c:pt idx="6">
                        <c:v>43646</c:v>
                      </c:pt>
                      <c:pt idx="7">
                        <c:v>43677</c:v>
                      </c:pt>
                      <c:pt idx="8">
                        <c:v>43708</c:v>
                      </c:pt>
                      <c:pt idx="9">
                        <c:v>43738</c:v>
                      </c:pt>
                      <c:pt idx="10">
                        <c:v>43769</c:v>
                      </c:pt>
                      <c:pt idx="11">
                        <c:v>43799</c:v>
                      </c:pt>
                      <c:pt idx="12">
                        <c:v>43830</c:v>
                      </c:pt>
                      <c:pt idx="13">
                        <c:v>43861</c:v>
                      </c:pt>
                      <c:pt idx="14">
                        <c:v>43889</c:v>
                      </c:pt>
                      <c:pt idx="15">
                        <c:v>43921</c:v>
                      </c:pt>
                      <c:pt idx="16">
                        <c:v>43951</c:v>
                      </c:pt>
                      <c:pt idx="17">
                        <c:v>43982</c:v>
                      </c:pt>
                      <c:pt idx="18">
                        <c:v>44012</c:v>
                      </c:pt>
                      <c:pt idx="19">
                        <c:v>44043</c:v>
                      </c:pt>
                      <c:pt idx="20">
                        <c:v>44074</c:v>
                      </c:pt>
                      <c:pt idx="21">
                        <c:v>44104</c:v>
                      </c:pt>
                      <c:pt idx="22">
                        <c:v>44135</c:v>
                      </c:pt>
                      <c:pt idx="23">
                        <c:v>44165</c:v>
                      </c:pt>
                      <c:pt idx="24">
                        <c:v>44196</c:v>
                      </c:pt>
                      <c:pt idx="25">
                        <c:v>44227</c:v>
                      </c:pt>
                      <c:pt idx="26">
                        <c:v>44255</c:v>
                      </c:pt>
                      <c:pt idx="27">
                        <c:v>44286</c:v>
                      </c:pt>
                      <c:pt idx="28">
                        <c:v>44316</c:v>
                      </c:pt>
                      <c:pt idx="29">
                        <c:v>44347</c:v>
                      </c:pt>
                      <c:pt idx="30">
                        <c:v>44377</c:v>
                      </c:pt>
                      <c:pt idx="31">
                        <c:v>44408</c:v>
                      </c:pt>
                      <c:pt idx="32">
                        <c:v>44438</c:v>
                      </c:pt>
                      <c:pt idx="33">
                        <c:v>44469</c:v>
                      </c:pt>
                      <c:pt idx="34">
                        <c:v>44500</c:v>
                      </c:pt>
                      <c:pt idx="35">
                        <c:v>44530</c:v>
                      </c:pt>
                      <c:pt idx="36">
                        <c:v>44561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'PLE Financial History'!$C$116:$CU$116</c15:sqref>
                        </c15:fullRef>
                        <c15:formulaRef>
                          <c15:sqref>('PLE Financial History'!$C$116:$AM$116,'PLE Financial History'!$AO$116:$CU$116)</c15:sqref>
                        </c15:formulaRef>
                      </c:ext>
                    </c:extLst>
                    <c:numCache>
                      <c:formatCode>"$"#,##0</c:formatCode>
                      <c:ptCount val="96"/>
                      <c:pt idx="11">
                        <c:v>28293.219999999987</c:v>
                      </c:pt>
                      <c:pt idx="12">
                        <c:v>28293.49</c:v>
                      </c:pt>
                      <c:pt idx="13">
                        <c:v>28165.210000000003</c:v>
                      </c:pt>
                      <c:pt idx="14">
                        <c:v>26607.550000000003</c:v>
                      </c:pt>
                      <c:pt idx="15">
                        <c:v>37348.320000000007</c:v>
                      </c:pt>
                      <c:pt idx="16">
                        <c:v>36299.810000000005</c:v>
                      </c:pt>
                      <c:pt idx="17">
                        <c:v>35592.200000000004</c:v>
                      </c:pt>
                      <c:pt idx="18">
                        <c:v>35063</c:v>
                      </c:pt>
                      <c:pt idx="19">
                        <c:v>33137</c:v>
                      </c:pt>
                      <c:pt idx="20">
                        <c:v>32595.63</c:v>
                      </c:pt>
                      <c:pt idx="21">
                        <c:v>26470.730000000003</c:v>
                      </c:pt>
                      <c:pt idx="22">
                        <c:v>25951.68</c:v>
                      </c:pt>
                      <c:pt idx="23">
                        <c:v>25332.04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7F7E-415C-9478-5F36D428BBF5}"/>
                  </c:ext>
                </c:extLst>
              </c15:ser>
            </c15:filteredLineSeries>
            <c15:filteredLin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'PLE Financial History'!$C$105</c15:sqref>
                        </c15:formulaRef>
                      </c:ext>
                    </c:extLst>
                    <c:strCache>
                      <c:ptCount val="1"/>
                      <c:pt idx="0">
                        <c:v>2016</c:v>
                      </c:pt>
                    </c:strCache>
                  </c:strRef>
                </c:tx>
                <c:spPr>
                  <a:ln w="28575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'PLE Financial History'!$BJ$114:$CT$114</c15:sqref>
                        </c15:fullRef>
                        <c15:formulaRef>
                          <c15:sqref>'PLE Financial History'!$BJ$114:$CT$114</c15:sqref>
                        </c15:formulaRef>
                      </c:ext>
                    </c:extLst>
                    <c:numCache>
                      <c:formatCode>m/d/yy;@</c:formatCode>
                      <c:ptCount val="37"/>
                      <c:pt idx="0">
                        <c:v>43465</c:v>
                      </c:pt>
                      <c:pt idx="1">
                        <c:v>43496</c:v>
                      </c:pt>
                      <c:pt idx="2">
                        <c:v>43524</c:v>
                      </c:pt>
                      <c:pt idx="3">
                        <c:v>43555</c:v>
                      </c:pt>
                      <c:pt idx="4">
                        <c:v>43585</c:v>
                      </c:pt>
                      <c:pt idx="5">
                        <c:v>43616</c:v>
                      </c:pt>
                      <c:pt idx="6">
                        <c:v>43646</c:v>
                      </c:pt>
                      <c:pt idx="7">
                        <c:v>43677</c:v>
                      </c:pt>
                      <c:pt idx="8">
                        <c:v>43708</c:v>
                      </c:pt>
                      <c:pt idx="9">
                        <c:v>43738</c:v>
                      </c:pt>
                      <c:pt idx="10">
                        <c:v>43769</c:v>
                      </c:pt>
                      <c:pt idx="11">
                        <c:v>43799</c:v>
                      </c:pt>
                      <c:pt idx="12">
                        <c:v>43830</c:v>
                      </c:pt>
                      <c:pt idx="13">
                        <c:v>43861</c:v>
                      </c:pt>
                      <c:pt idx="14">
                        <c:v>43889</c:v>
                      </c:pt>
                      <c:pt idx="15">
                        <c:v>43921</c:v>
                      </c:pt>
                      <c:pt idx="16">
                        <c:v>43951</c:v>
                      </c:pt>
                      <c:pt idx="17">
                        <c:v>43982</c:v>
                      </c:pt>
                      <c:pt idx="18">
                        <c:v>44012</c:v>
                      </c:pt>
                      <c:pt idx="19">
                        <c:v>44043</c:v>
                      </c:pt>
                      <c:pt idx="20">
                        <c:v>44074</c:v>
                      </c:pt>
                      <c:pt idx="21">
                        <c:v>44104</c:v>
                      </c:pt>
                      <c:pt idx="22">
                        <c:v>44135</c:v>
                      </c:pt>
                      <c:pt idx="23">
                        <c:v>44165</c:v>
                      </c:pt>
                      <c:pt idx="24">
                        <c:v>44196</c:v>
                      </c:pt>
                      <c:pt idx="25">
                        <c:v>44227</c:v>
                      </c:pt>
                      <c:pt idx="26">
                        <c:v>44255</c:v>
                      </c:pt>
                      <c:pt idx="27">
                        <c:v>44286</c:v>
                      </c:pt>
                      <c:pt idx="28">
                        <c:v>44316</c:v>
                      </c:pt>
                      <c:pt idx="29">
                        <c:v>44347</c:v>
                      </c:pt>
                      <c:pt idx="30">
                        <c:v>44377</c:v>
                      </c:pt>
                      <c:pt idx="31">
                        <c:v>44408</c:v>
                      </c:pt>
                      <c:pt idx="32">
                        <c:v>44438</c:v>
                      </c:pt>
                      <c:pt idx="33">
                        <c:v>44469</c:v>
                      </c:pt>
                      <c:pt idx="34">
                        <c:v>44500</c:v>
                      </c:pt>
                      <c:pt idx="35">
                        <c:v>44530</c:v>
                      </c:pt>
                      <c:pt idx="36">
                        <c:v>44561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'PLE Financial History'!$C$117:$CU$117</c15:sqref>
                        </c15:fullRef>
                        <c15:formulaRef>
                          <c15:sqref>('PLE Financial History'!$C$117:$AM$117,'PLE Financial History'!$AO$117:$CU$117)</c15:sqref>
                        </c15:formulaRef>
                      </c:ext>
                    </c:extLst>
                    <c:numCache>
                      <c:formatCode>"$"#,##0</c:formatCode>
                      <c:ptCount val="96"/>
                      <c:pt idx="23">
                        <c:v>25332.04</c:v>
                      </c:pt>
                      <c:pt idx="24">
                        <c:v>13857.230000000003</c:v>
                      </c:pt>
                      <c:pt idx="25">
                        <c:v>13190.530000000002</c:v>
                      </c:pt>
                      <c:pt idx="26">
                        <c:v>17397.750000000004</c:v>
                      </c:pt>
                      <c:pt idx="27">
                        <c:v>23078.600000000002</c:v>
                      </c:pt>
                      <c:pt idx="28">
                        <c:v>23661.850000000002</c:v>
                      </c:pt>
                      <c:pt idx="29">
                        <c:v>23593.770000000004</c:v>
                      </c:pt>
                      <c:pt idx="30">
                        <c:v>22945.120000000003</c:v>
                      </c:pt>
                      <c:pt idx="31">
                        <c:v>22203.530000000002</c:v>
                      </c:pt>
                      <c:pt idx="32">
                        <c:v>21554.880000000001</c:v>
                      </c:pt>
                      <c:pt idx="33">
                        <c:v>20838.02</c:v>
                      </c:pt>
                      <c:pt idx="34">
                        <c:v>20524.690000000002</c:v>
                      </c:pt>
                      <c:pt idx="35">
                        <c:v>19783.100000000002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7F7E-415C-9478-5F36D428BBF5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'PLE Financial History'!$C$106:$D$106</c15:sqref>
                        </c15:formulaRef>
                      </c:ext>
                    </c:extLst>
                    <c:strCache>
                      <c:ptCount val="2"/>
                      <c:pt idx="0">
                        <c:v>2017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'PLE Financial History'!$BJ$114:$CT$114</c15:sqref>
                        </c15:fullRef>
                        <c15:formulaRef>
                          <c15:sqref>'PLE Financial History'!$BJ$114:$CT$114</c15:sqref>
                        </c15:formulaRef>
                      </c:ext>
                    </c:extLst>
                    <c:numCache>
                      <c:formatCode>m/d/yy;@</c:formatCode>
                      <c:ptCount val="37"/>
                      <c:pt idx="0">
                        <c:v>43465</c:v>
                      </c:pt>
                      <c:pt idx="1">
                        <c:v>43496</c:v>
                      </c:pt>
                      <c:pt idx="2">
                        <c:v>43524</c:v>
                      </c:pt>
                      <c:pt idx="3">
                        <c:v>43555</c:v>
                      </c:pt>
                      <c:pt idx="4">
                        <c:v>43585</c:v>
                      </c:pt>
                      <c:pt idx="5">
                        <c:v>43616</c:v>
                      </c:pt>
                      <c:pt idx="6">
                        <c:v>43646</c:v>
                      </c:pt>
                      <c:pt idx="7">
                        <c:v>43677</c:v>
                      </c:pt>
                      <c:pt idx="8">
                        <c:v>43708</c:v>
                      </c:pt>
                      <c:pt idx="9">
                        <c:v>43738</c:v>
                      </c:pt>
                      <c:pt idx="10">
                        <c:v>43769</c:v>
                      </c:pt>
                      <c:pt idx="11">
                        <c:v>43799</c:v>
                      </c:pt>
                      <c:pt idx="12">
                        <c:v>43830</c:v>
                      </c:pt>
                      <c:pt idx="13">
                        <c:v>43861</c:v>
                      </c:pt>
                      <c:pt idx="14">
                        <c:v>43889</c:v>
                      </c:pt>
                      <c:pt idx="15">
                        <c:v>43921</c:v>
                      </c:pt>
                      <c:pt idx="16">
                        <c:v>43951</c:v>
                      </c:pt>
                      <c:pt idx="17">
                        <c:v>43982</c:v>
                      </c:pt>
                      <c:pt idx="18">
                        <c:v>44012</c:v>
                      </c:pt>
                      <c:pt idx="19">
                        <c:v>44043</c:v>
                      </c:pt>
                      <c:pt idx="20">
                        <c:v>44074</c:v>
                      </c:pt>
                      <c:pt idx="21">
                        <c:v>44104</c:v>
                      </c:pt>
                      <c:pt idx="22">
                        <c:v>44135</c:v>
                      </c:pt>
                      <c:pt idx="23">
                        <c:v>44165</c:v>
                      </c:pt>
                      <c:pt idx="24">
                        <c:v>44196</c:v>
                      </c:pt>
                      <c:pt idx="25">
                        <c:v>44227</c:v>
                      </c:pt>
                      <c:pt idx="26">
                        <c:v>44255</c:v>
                      </c:pt>
                      <c:pt idx="27">
                        <c:v>44286</c:v>
                      </c:pt>
                      <c:pt idx="28">
                        <c:v>44316</c:v>
                      </c:pt>
                      <c:pt idx="29">
                        <c:v>44347</c:v>
                      </c:pt>
                      <c:pt idx="30">
                        <c:v>44377</c:v>
                      </c:pt>
                      <c:pt idx="31">
                        <c:v>44408</c:v>
                      </c:pt>
                      <c:pt idx="32">
                        <c:v>44438</c:v>
                      </c:pt>
                      <c:pt idx="33">
                        <c:v>44469</c:v>
                      </c:pt>
                      <c:pt idx="34">
                        <c:v>44500</c:v>
                      </c:pt>
                      <c:pt idx="35">
                        <c:v>44530</c:v>
                      </c:pt>
                      <c:pt idx="36">
                        <c:v>44561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'PLE Financial History'!$C$118:$CU$118</c15:sqref>
                        </c15:fullRef>
                        <c15:formulaRef>
                          <c15:sqref>('PLE Financial History'!$C$118:$AM$118,'PLE Financial History'!$AO$118:$CU$118)</c15:sqref>
                        </c15:formulaRef>
                      </c:ext>
                    </c:extLst>
                    <c:numCache>
                      <c:formatCode>"$"#,##0</c:formatCode>
                      <c:ptCount val="96"/>
                      <c:pt idx="35">
                        <c:v>19783.100000000002</c:v>
                      </c:pt>
                      <c:pt idx="36">
                        <c:v>19154.769999999997</c:v>
                      </c:pt>
                      <c:pt idx="37">
                        <c:v>22614.929999999997</c:v>
                      </c:pt>
                      <c:pt idx="38">
                        <c:v>27101.879999999997</c:v>
                      </c:pt>
                      <c:pt idx="39">
                        <c:v>27220.92</c:v>
                      </c:pt>
                      <c:pt idx="40">
                        <c:v>26831.109999999997</c:v>
                      </c:pt>
                      <c:pt idx="41">
                        <c:v>26181.67</c:v>
                      </c:pt>
                      <c:pt idx="42">
                        <c:v>25367.949999999997</c:v>
                      </c:pt>
                      <c:pt idx="43">
                        <c:v>24728.67</c:v>
                      </c:pt>
                      <c:pt idx="44">
                        <c:v>24676.26</c:v>
                      </c:pt>
                      <c:pt idx="45">
                        <c:v>23444.019999999997</c:v>
                      </c:pt>
                      <c:pt idx="46">
                        <c:v>23160.1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7F7E-415C-9478-5F36D428BBF5}"/>
                  </c:ext>
                </c:extLst>
              </c15:ser>
            </c15:filteredLineSeries>
            <c15:filteredLin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'PLE Financial History'!$C$107:$D$107</c15:sqref>
                        </c15:formulaRef>
                      </c:ext>
                    </c:extLst>
                    <c:strCache>
                      <c:ptCount val="2"/>
                      <c:pt idx="0">
                        <c:v>2018</c:v>
                      </c:pt>
                    </c:strCache>
                  </c:strRef>
                </c:tx>
                <c:spPr>
                  <a:ln w="28575" cap="rnd">
                    <a:solidFill>
                      <a:schemeClr val="accent5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'PLE Financial History'!$BJ$114:$CT$114</c15:sqref>
                        </c15:fullRef>
                        <c15:formulaRef>
                          <c15:sqref>'PLE Financial History'!$BJ$114:$CT$114</c15:sqref>
                        </c15:formulaRef>
                      </c:ext>
                    </c:extLst>
                    <c:numCache>
                      <c:formatCode>m/d/yy;@</c:formatCode>
                      <c:ptCount val="37"/>
                      <c:pt idx="0">
                        <c:v>43465</c:v>
                      </c:pt>
                      <c:pt idx="1">
                        <c:v>43496</c:v>
                      </c:pt>
                      <c:pt idx="2">
                        <c:v>43524</c:v>
                      </c:pt>
                      <c:pt idx="3">
                        <c:v>43555</c:v>
                      </c:pt>
                      <c:pt idx="4">
                        <c:v>43585</c:v>
                      </c:pt>
                      <c:pt idx="5">
                        <c:v>43616</c:v>
                      </c:pt>
                      <c:pt idx="6">
                        <c:v>43646</c:v>
                      </c:pt>
                      <c:pt idx="7">
                        <c:v>43677</c:v>
                      </c:pt>
                      <c:pt idx="8">
                        <c:v>43708</c:v>
                      </c:pt>
                      <c:pt idx="9">
                        <c:v>43738</c:v>
                      </c:pt>
                      <c:pt idx="10">
                        <c:v>43769</c:v>
                      </c:pt>
                      <c:pt idx="11">
                        <c:v>43799</c:v>
                      </c:pt>
                      <c:pt idx="12">
                        <c:v>43830</c:v>
                      </c:pt>
                      <c:pt idx="13">
                        <c:v>43861</c:v>
                      </c:pt>
                      <c:pt idx="14">
                        <c:v>43889</c:v>
                      </c:pt>
                      <c:pt idx="15">
                        <c:v>43921</c:v>
                      </c:pt>
                      <c:pt idx="16">
                        <c:v>43951</c:v>
                      </c:pt>
                      <c:pt idx="17">
                        <c:v>43982</c:v>
                      </c:pt>
                      <c:pt idx="18">
                        <c:v>44012</c:v>
                      </c:pt>
                      <c:pt idx="19">
                        <c:v>44043</c:v>
                      </c:pt>
                      <c:pt idx="20">
                        <c:v>44074</c:v>
                      </c:pt>
                      <c:pt idx="21">
                        <c:v>44104</c:v>
                      </c:pt>
                      <c:pt idx="22">
                        <c:v>44135</c:v>
                      </c:pt>
                      <c:pt idx="23">
                        <c:v>44165</c:v>
                      </c:pt>
                      <c:pt idx="24">
                        <c:v>44196</c:v>
                      </c:pt>
                      <c:pt idx="25">
                        <c:v>44227</c:v>
                      </c:pt>
                      <c:pt idx="26">
                        <c:v>44255</c:v>
                      </c:pt>
                      <c:pt idx="27">
                        <c:v>44286</c:v>
                      </c:pt>
                      <c:pt idx="28">
                        <c:v>44316</c:v>
                      </c:pt>
                      <c:pt idx="29">
                        <c:v>44347</c:v>
                      </c:pt>
                      <c:pt idx="30">
                        <c:v>44377</c:v>
                      </c:pt>
                      <c:pt idx="31">
                        <c:v>44408</c:v>
                      </c:pt>
                      <c:pt idx="32">
                        <c:v>44438</c:v>
                      </c:pt>
                      <c:pt idx="33">
                        <c:v>44469</c:v>
                      </c:pt>
                      <c:pt idx="34">
                        <c:v>44500</c:v>
                      </c:pt>
                      <c:pt idx="35">
                        <c:v>44530</c:v>
                      </c:pt>
                      <c:pt idx="36">
                        <c:v>44561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'PLE Financial History'!$C$119:$CU$119</c15:sqref>
                        </c15:fullRef>
                        <c15:formulaRef>
                          <c15:sqref>('PLE Financial History'!$C$119:$AM$119,'PLE Financial History'!$AO$119:$CU$119)</c15:sqref>
                        </c15:formulaRef>
                      </c:ext>
                    </c:extLst>
                    <c:numCache>
                      <c:formatCode>"$"#,##0</c:formatCode>
                      <c:ptCount val="96"/>
                      <c:pt idx="46">
                        <c:v>23160.1</c:v>
                      </c:pt>
                      <c:pt idx="47">
                        <c:v>23101.599999999999</c:v>
                      </c:pt>
                      <c:pt idx="48">
                        <c:v>21853.059999999998</c:v>
                      </c:pt>
                      <c:pt idx="49">
                        <c:v>20425.819999999996</c:v>
                      </c:pt>
                      <c:pt idx="50">
                        <c:v>26154.379999999997</c:v>
                      </c:pt>
                      <c:pt idx="51">
                        <c:v>25841.51</c:v>
                      </c:pt>
                      <c:pt idx="52">
                        <c:v>25153.64</c:v>
                      </c:pt>
                      <c:pt idx="53">
                        <c:v>25091.14</c:v>
                      </c:pt>
                      <c:pt idx="54">
                        <c:v>24946.720000000001</c:v>
                      </c:pt>
                      <c:pt idx="55">
                        <c:v>23018.720000000001</c:v>
                      </c:pt>
                      <c:pt idx="56">
                        <c:v>21341.22</c:v>
                      </c:pt>
                      <c:pt idx="57">
                        <c:v>21607.32</c:v>
                      </c:pt>
                      <c:pt idx="58">
                        <c:v>23374.07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7F7E-415C-9478-5F36D428BBF5}"/>
                  </c:ext>
                </c:extLst>
              </c15:ser>
            </c15:filteredLineSeries>
          </c:ext>
        </c:extLst>
      </c:lineChart>
      <c:dateAx>
        <c:axId val="410537264"/>
        <c:scaling>
          <c:orientation val="minMax"/>
        </c:scaling>
        <c:delete val="0"/>
        <c:axPos val="b"/>
        <c:numFmt formatCode="[$-409]mmm\-yy;@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0538048"/>
        <c:crosses val="autoZero"/>
        <c:auto val="1"/>
        <c:lblOffset val="100"/>
        <c:baseTimeUnit val="months"/>
      </c:dateAx>
      <c:valAx>
        <c:axId val="410538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05372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baseline="0">
                <a:solidFill>
                  <a:sysClr val="windowText" lastClr="000000"/>
                </a:solidFill>
              </a:rPr>
              <a:t>Ending Balance By Month: 2019 - 2022 Projected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03644757171311"/>
          <c:y val="0.19735572670902479"/>
          <c:w val="0.83107760466111946"/>
          <c:h val="0.61786354574530644"/>
        </c:manualLayout>
      </c:layout>
      <c:lineChart>
        <c:grouping val="standard"/>
        <c:varyColors val="0"/>
        <c:ser>
          <c:idx val="5"/>
          <c:order val="5"/>
          <c:tx>
            <c:strRef>
              <c:f>'PLE Financial History'!$C$108:$D$108</c:f>
              <c:strCache>
                <c:ptCount val="2"/>
                <c:pt idx="0">
                  <c:v>2019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'PLE Financial History'!$BJ$114:$DF$114</c:f>
              <c:numCache>
                <c:formatCode>m/d/yy;@</c:formatCode>
                <c:ptCount val="49"/>
                <c:pt idx="0">
                  <c:v>43465</c:v>
                </c:pt>
                <c:pt idx="1">
                  <c:v>43496</c:v>
                </c:pt>
                <c:pt idx="2">
                  <c:v>43524</c:v>
                </c:pt>
                <c:pt idx="3">
                  <c:v>43555</c:v>
                </c:pt>
                <c:pt idx="4">
                  <c:v>43585</c:v>
                </c:pt>
                <c:pt idx="5">
                  <c:v>43616</c:v>
                </c:pt>
                <c:pt idx="6">
                  <c:v>43646</c:v>
                </c:pt>
                <c:pt idx="7">
                  <c:v>43677</c:v>
                </c:pt>
                <c:pt idx="8">
                  <c:v>43708</c:v>
                </c:pt>
                <c:pt idx="9">
                  <c:v>43738</c:v>
                </c:pt>
                <c:pt idx="10">
                  <c:v>43769</c:v>
                </c:pt>
                <c:pt idx="11">
                  <c:v>43799</c:v>
                </c:pt>
                <c:pt idx="12">
                  <c:v>43830</c:v>
                </c:pt>
                <c:pt idx="13">
                  <c:v>43861</c:v>
                </c:pt>
                <c:pt idx="14">
                  <c:v>43889</c:v>
                </c:pt>
                <c:pt idx="15">
                  <c:v>43921</c:v>
                </c:pt>
                <c:pt idx="16">
                  <c:v>43951</c:v>
                </c:pt>
                <c:pt idx="17">
                  <c:v>43982</c:v>
                </c:pt>
                <c:pt idx="18">
                  <c:v>44012</c:v>
                </c:pt>
                <c:pt idx="19">
                  <c:v>44043</c:v>
                </c:pt>
                <c:pt idx="20">
                  <c:v>44074</c:v>
                </c:pt>
                <c:pt idx="21">
                  <c:v>44104</c:v>
                </c:pt>
                <c:pt idx="22">
                  <c:v>44135</c:v>
                </c:pt>
                <c:pt idx="23">
                  <c:v>44165</c:v>
                </c:pt>
                <c:pt idx="24">
                  <c:v>44196</c:v>
                </c:pt>
                <c:pt idx="25">
                  <c:v>44227</c:v>
                </c:pt>
                <c:pt idx="26">
                  <c:v>44255</c:v>
                </c:pt>
                <c:pt idx="27">
                  <c:v>44286</c:v>
                </c:pt>
                <c:pt idx="28">
                  <c:v>44316</c:v>
                </c:pt>
                <c:pt idx="29">
                  <c:v>44347</c:v>
                </c:pt>
                <c:pt idx="30">
                  <c:v>44377</c:v>
                </c:pt>
                <c:pt idx="31">
                  <c:v>44408</c:v>
                </c:pt>
                <c:pt idx="32">
                  <c:v>44438</c:v>
                </c:pt>
                <c:pt idx="33">
                  <c:v>44469</c:v>
                </c:pt>
                <c:pt idx="34">
                  <c:v>44500</c:v>
                </c:pt>
                <c:pt idx="35">
                  <c:v>44530</c:v>
                </c:pt>
                <c:pt idx="36">
                  <c:v>44561</c:v>
                </c:pt>
                <c:pt idx="37">
                  <c:v>44592</c:v>
                </c:pt>
                <c:pt idx="38">
                  <c:v>44620</c:v>
                </c:pt>
                <c:pt idx="39">
                  <c:v>44651</c:v>
                </c:pt>
                <c:pt idx="40">
                  <c:v>44681</c:v>
                </c:pt>
                <c:pt idx="41">
                  <c:v>44712</c:v>
                </c:pt>
                <c:pt idx="42">
                  <c:v>44742</c:v>
                </c:pt>
                <c:pt idx="43">
                  <c:v>44773</c:v>
                </c:pt>
                <c:pt idx="44">
                  <c:v>44803</c:v>
                </c:pt>
                <c:pt idx="45">
                  <c:v>44834</c:v>
                </c:pt>
                <c:pt idx="46">
                  <c:v>44865</c:v>
                </c:pt>
                <c:pt idx="47">
                  <c:v>44895</c:v>
                </c:pt>
                <c:pt idx="48">
                  <c:v>44926</c:v>
                </c:pt>
              </c:numCache>
            </c:numRef>
          </c:cat>
          <c:val>
            <c:numRef>
              <c:f>'PLE Financial History'!$BJ$120:$CU$120</c:f>
              <c:numCache>
                <c:formatCode>"$"#,##0</c:formatCode>
                <c:ptCount val="38"/>
                <c:pt idx="0">
                  <c:v>23374.07</c:v>
                </c:pt>
                <c:pt idx="1">
                  <c:v>22821.07</c:v>
                </c:pt>
                <c:pt idx="2">
                  <c:v>22758.57</c:v>
                </c:pt>
                <c:pt idx="3">
                  <c:v>31275.57</c:v>
                </c:pt>
                <c:pt idx="4">
                  <c:v>34588.07</c:v>
                </c:pt>
                <c:pt idx="5">
                  <c:v>34525.57</c:v>
                </c:pt>
                <c:pt idx="6">
                  <c:v>31636.32</c:v>
                </c:pt>
                <c:pt idx="7">
                  <c:v>31573.82</c:v>
                </c:pt>
                <c:pt idx="8">
                  <c:v>31511.32</c:v>
                </c:pt>
                <c:pt idx="9">
                  <c:v>29839.989999999998</c:v>
                </c:pt>
                <c:pt idx="10">
                  <c:v>22837.829999999998</c:v>
                </c:pt>
                <c:pt idx="11">
                  <c:v>19630.059999999998</c:v>
                </c:pt>
                <c:pt idx="12">
                  <c:v>17009.909999999996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98-46A2-9E13-B7FE114C0A5F}"/>
            </c:ext>
          </c:extLst>
        </c:ser>
        <c:ser>
          <c:idx val="6"/>
          <c:order val="6"/>
          <c:tx>
            <c:v>2020</c:v>
          </c:tx>
          <c:spPr>
            <a:ln w="28575" cap="rnd">
              <a:solidFill>
                <a:srgbClr val="0000FF"/>
              </a:solidFill>
              <a:round/>
            </a:ln>
            <a:effectLst/>
          </c:spPr>
          <c:marker>
            <c:symbol val="none"/>
          </c:marker>
          <c:cat>
            <c:numRef>
              <c:f>'PLE Financial History'!$BJ$114:$DF$114</c:f>
              <c:numCache>
                <c:formatCode>m/d/yy;@</c:formatCode>
                <c:ptCount val="49"/>
                <c:pt idx="0">
                  <c:v>43465</c:v>
                </c:pt>
                <c:pt idx="1">
                  <c:v>43496</c:v>
                </c:pt>
                <c:pt idx="2">
                  <c:v>43524</c:v>
                </c:pt>
                <c:pt idx="3">
                  <c:v>43555</c:v>
                </c:pt>
                <c:pt idx="4">
                  <c:v>43585</c:v>
                </c:pt>
                <c:pt idx="5">
                  <c:v>43616</c:v>
                </c:pt>
                <c:pt idx="6">
                  <c:v>43646</c:v>
                </c:pt>
                <c:pt idx="7">
                  <c:v>43677</c:v>
                </c:pt>
                <c:pt idx="8">
                  <c:v>43708</c:v>
                </c:pt>
                <c:pt idx="9">
                  <c:v>43738</c:v>
                </c:pt>
                <c:pt idx="10">
                  <c:v>43769</c:v>
                </c:pt>
                <c:pt idx="11">
                  <c:v>43799</c:v>
                </c:pt>
                <c:pt idx="12">
                  <c:v>43830</c:v>
                </c:pt>
                <c:pt idx="13">
                  <c:v>43861</c:v>
                </c:pt>
                <c:pt idx="14">
                  <c:v>43889</c:v>
                </c:pt>
                <c:pt idx="15">
                  <c:v>43921</c:v>
                </c:pt>
                <c:pt idx="16">
                  <c:v>43951</c:v>
                </c:pt>
                <c:pt idx="17">
                  <c:v>43982</c:v>
                </c:pt>
                <c:pt idx="18">
                  <c:v>44012</c:v>
                </c:pt>
                <c:pt idx="19">
                  <c:v>44043</c:v>
                </c:pt>
                <c:pt idx="20">
                  <c:v>44074</c:v>
                </c:pt>
                <c:pt idx="21">
                  <c:v>44104</c:v>
                </c:pt>
                <c:pt idx="22">
                  <c:v>44135</c:v>
                </c:pt>
                <c:pt idx="23">
                  <c:v>44165</c:v>
                </c:pt>
                <c:pt idx="24">
                  <c:v>44196</c:v>
                </c:pt>
                <c:pt idx="25">
                  <c:v>44227</c:v>
                </c:pt>
                <c:pt idx="26">
                  <c:v>44255</c:v>
                </c:pt>
                <c:pt idx="27">
                  <c:v>44286</c:v>
                </c:pt>
                <c:pt idx="28">
                  <c:v>44316</c:v>
                </c:pt>
                <c:pt idx="29">
                  <c:v>44347</c:v>
                </c:pt>
                <c:pt idx="30">
                  <c:v>44377</c:v>
                </c:pt>
                <c:pt idx="31">
                  <c:v>44408</c:v>
                </c:pt>
                <c:pt idx="32">
                  <c:v>44438</c:v>
                </c:pt>
                <c:pt idx="33">
                  <c:v>44469</c:v>
                </c:pt>
                <c:pt idx="34">
                  <c:v>44500</c:v>
                </c:pt>
                <c:pt idx="35">
                  <c:v>44530</c:v>
                </c:pt>
                <c:pt idx="36">
                  <c:v>44561</c:v>
                </c:pt>
                <c:pt idx="37">
                  <c:v>44592</c:v>
                </c:pt>
                <c:pt idx="38">
                  <c:v>44620</c:v>
                </c:pt>
                <c:pt idx="39">
                  <c:v>44651</c:v>
                </c:pt>
                <c:pt idx="40">
                  <c:v>44681</c:v>
                </c:pt>
                <c:pt idx="41">
                  <c:v>44712</c:v>
                </c:pt>
                <c:pt idx="42">
                  <c:v>44742</c:v>
                </c:pt>
                <c:pt idx="43">
                  <c:v>44773</c:v>
                </c:pt>
                <c:pt idx="44">
                  <c:v>44803</c:v>
                </c:pt>
                <c:pt idx="45">
                  <c:v>44834</c:v>
                </c:pt>
                <c:pt idx="46">
                  <c:v>44865</c:v>
                </c:pt>
                <c:pt idx="47">
                  <c:v>44895</c:v>
                </c:pt>
                <c:pt idx="48">
                  <c:v>44926</c:v>
                </c:pt>
              </c:numCache>
            </c:numRef>
          </c:cat>
          <c:val>
            <c:numRef>
              <c:f>'PLE Financial History'!$BJ$121:$CU$121</c:f>
              <c:numCache>
                <c:formatCode>"$"#,##0</c:formatCode>
                <c:ptCount val="38"/>
                <c:pt idx="12">
                  <c:v>17009.909999999996</c:v>
                </c:pt>
                <c:pt idx="13">
                  <c:v>16354.059999999996</c:v>
                </c:pt>
                <c:pt idx="14">
                  <c:v>19623.879999999997</c:v>
                </c:pt>
                <c:pt idx="15">
                  <c:v>27238.799999999996</c:v>
                </c:pt>
                <c:pt idx="16">
                  <c:v>26485.779999999995</c:v>
                </c:pt>
                <c:pt idx="17">
                  <c:v>24990.849999999995</c:v>
                </c:pt>
                <c:pt idx="18">
                  <c:v>23037.489999999994</c:v>
                </c:pt>
                <c:pt idx="19">
                  <c:v>23050.709999999995</c:v>
                </c:pt>
                <c:pt idx="20">
                  <c:v>22069.449999999997</c:v>
                </c:pt>
                <c:pt idx="21">
                  <c:v>20729.369999999995</c:v>
                </c:pt>
                <c:pt idx="22">
                  <c:v>19761.379999999994</c:v>
                </c:pt>
                <c:pt idx="23">
                  <c:v>18742.459999999992</c:v>
                </c:pt>
                <c:pt idx="24">
                  <c:v>17748.039999999994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98-46A2-9E13-B7FE114C0A5F}"/>
            </c:ext>
          </c:extLst>
        </c:ser>
        <c:ser>
          <c:idx val="7"/>
          <c:order val="7"/>
          <c:tx>
            <c:v>2021</c:v>
          </c:tx>
          <c:spPr>
            <a:ln w="28575" cap="rnd">
              <a:solidFill>
                <a:srgbClr val="33CC33"/>
              </a:solidFill>
              <a:round/>
            </a:ln>
            <a:effectLst/>
          </c:spPr>
          <c:marker>
            <c:symbol val="none"/>
          </c:marker>
          <c:cat>
            <c:numRef>
              <c:f>'PLE Financial History'!$BJ$114:$DF$114</c:f>
              <c:numCache>
                <c:formatCode>m/d/yy;@</c:formatCode>
                <c:ptCount val="49"/>
                <c:pt idx="0">
                  <c:v>43465</c:v>
                </c:pt>
                <c:pt idx="1">
                  <c:v>43496</c:v>
                </c:pt>
                <c:pt idx="2">
                  <c:v>43524</c:v>
                </c:pt>
                <c:pt idx="3">
                  <c:v>43555</c:v>
                </c:pt>
                <c:pt idx="4">
                  <c:v>43585</c:v>
                </c:pt>
                <c:pt idx="5">
                  <c:v>43616</c:v>
                </c:pt>
                <c:pt idx="6">
                  <c:v>43646</c:v>
                </c:pt>
                <c:pt idx="7">
                  <c:v>43677</c:v>
                </c:pt>
                <c:pt idx="8">
                  <c:v>43708</c:v>
                </c:pt>
                <c:pt idx="9">
                  <c:v>43738</c:v>
                </c:pt>
                <c:pt idx="10">
                  <c:v>43769</c:v>
                </c:pt>
                <c:pt idx="11">
                  <c:v>43799</c:v>
                </c:pt>
                <c:pt idx="12">
                  <c:v>43830</c:v>
                </c:pt>
                <c:pt idx="13">
                  <c:v>43861</c:v>
                </c:pt>
                <c:pt idx="14">
                  <c:v>43889</c:v>
                </c:pt>
                <c:pt idx="15">
                  <c:v>43921</c:v>
                </c:pt>
                <c:pt idx="16">
                  <c:v>43951</c:v>
                </c:pt>
                <c:pt idx="17">
                  <c:v>43982</c:v>
                </c:pt>
                <c:pt idx="18">
                  <c:v>44012</c:v>
                </c:pt>
                <c:pt idx="19">
                  <c:v>44043</c:v>
                </c:pt>
                <c:pt idx="20">
                  <c:v>44074</c:v>
                </c:pt>
                <c:pt idx="21">
                  <c:v>44104</c:v>
                </c:pt>
                <c:pt idx="22">
                  <c:v>44135</c:v>
                </c:pt>
                <c:pt idx="23">
                  <c:v>44165</c:v>
                </c:pt>
                <c:pt idx="24">
                  <c:v>44196</c:v>
                </c:pt>
                <c:pt idx="25">
                  <c:v>44227</c:v>
                </c:pt>
                <c:pt idx="26">
                  <c:v>44255</c:v>
                </c:pt>
                <c:pt idx="27">
                  <c:v>44286</c:v>
                </c:pt>
                <c:pt idx="28">
                  <c:v>44316</c:v>
                </c:pt>
                <c:pt idx="29">
                  <c:v>44347</c:v>
                </c:pt>
                <c:pt idx="30">
                  <c:v>44377</c:v>
                </c:pt>
                <c:pt idx="31">
                  <c:v>44408</c:v>
                </c:pt>
                <c:pt idx="32">
                  <c:v>44438</c:v>
                </c:pt>
                <c:pt idx="33">
                  <c:v>44469</c:v>
                </c:pt>
                <c:pt idx="34">
                  <c:v>44500</c:v>
                </c:pt>
                <c:pt idx="35">
                  <c:v>44530</c:v>
                </c:pt>
                <c:pt idx="36">
                  <c:v>44561</c:v>
                </c:pt>
                <c:pt idx="37">
                  <c:v>44592</c:v>
                </c:pt>
                <c:pt idx="38">
                  <c:v>44620</c:v>
                </c:pt>
                <c:pt idx="39">
                  <c:v>44651</c:v>
                </c:pt>
                <c:pt idx="40">
                  <c:v>44681</c:v>
                </c:pt>
                <c:pt idx="41">
                  <c:v>44712</c:v>
                </c:pt>
                <c:pt idx="42">
                  <c:v>44742</c:v>
                </c:pt>
                <c:pt idx="43">
                  <c:v>44773</c:v>
                </c:pt>
                <c:pt idx="44">
                  <c:v>44803</c:v>
                </c:pt>
                <c:pt idx="45">
                  <c:v>44834</c:v>
                </c:pt>
                <c:pt idx="46">
                  <c:v>44865</c:v>
                </c:pt>
                <c:pt idx="47">
                  <c:v>44895</c:v>
                </c:pt>
                <c:pt idx="48">
                  <c:v>44926</c:v>
                </c:pt>
              </c:numCache>
            </c:numRef>
          </c:cat>
          <c:val>
            <c:numRef>
              <c:f>'PLE Financial History'!$BJ$122:$CU$122</c:f>
              <c:numCache>
                <c:formatCode>"$"#,##0</c:formatCode>
                <c:ptCount val="38"/>
                <c:pt idx="24">
                  <c:v>17748.039999999994</c:v>
                </c:pt>
                <c:pt idx="25">
                  <c:v>17107.959999999995</c:v>
                </c:pt>
                <c:pt idx="26">
                  <c:v>16467.879999999994</c:v>
                </c:pt>
                <c:pt idx="27">
                  <c:v>16377.799999999994</c:v>
                </c:pt>
                <c:pt idx="28">
                  <c:v>28087.719999999994</c:v>
                </c:pt>
                <c:pt idx="29">
                  <c:v>27185.639999999992</c:v>
                </c:pt>
                <c:pt idx="30">
                  <c:v>26773.299999999992</c:v>
                </c:pt>
                <c:pt idx="31">
                  <c:v>25539.679999999993</c:v>
                </c:pt>
                <c:pt idx="32">
                  <c:v>25034.339999999993</c:v>
                </c:pt>
                <c:pt idx="33">
                  <c:v>24944.259999999991</c:v>
                </c:pt>
                <c:pt idx="34">
                  <c:v>23754.179999999993</c:v>
                </c:pt>
                <c:pt idx="35">
                  <c:v>23114.099999999991</c:v>
                </c:pt>
                <c:pt idx="36">
                  <c:v>22706.149999999991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E98-46A2-9E13-B7FE114C0A5F}"/>
            </c:ext>
          </c:extLst>
        </c:ser>
        <c:ser>
          <c:idx val="9"/>
          <c:order val="8"/>
          <c:tx>
            <c:v>2022</c:v>
          </c:tx>
          <c:spPr>
            <a:ln w="28575" cap="rnd">
              <a:solidFill>
                <a:schemeClr val="tx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'PLE Financial History'!$BJ$114:$DF$114</c:f>
              <c:numCache>
                <c:formatCode>m/d/yy;@</c:formatCode>
                <c:ptCount val="49"/>
                <c:pt idx="0">
                  <c:v>43465</c:v>
                </c:pt>
                <c:pt idx="1">
                  <c:v>43496</c:v>
                </c:pt>
                <c:pt idx="2">
                  <c:v>43524</c:v>
                </c:pt>
                <c:pt idx="3">
                  <c:v>43555</c:v>
                </c:pt>
                <c:pt idx="4">
                  <c:v>43585</c:v>
                </c:pt>
                <c:pt idx="5">
                  <c:v>43616</c:v>
                </c:pt>
                <c:pt idx="6">
                  <c:v>43646</c:v>
                </c:pt>
                <c:pt idx="7">
                  <c:v>43677</c:v>
                </c:pt>
                <c:pt idx="8">
                  <c:v>43708</c:v>
                </c:pt>
                <c:pt idx="9">
                  <c:v>43738</c:v>
                </c:pt>
                <c:pt idx="10">
                  <c:v>43769</c:v>
                </c:pt>
                <c:pt idx="11">
                  <c:v>43799</c:v>
                </c:pt>
                <c:pt idx="12">
                  <c:v>43830</c:v>
                </c:pt>
                <c:pt idx="13">
                  <c:v>43861</c:v>
                </c:pt>
                <c:pt idx="14">
                  <c:v>43889</c:v>
                </c:pt>
                <c:pt idx="15">
                  <c:v>43921</c:v>
                </c:pt>
                <c:pt idx="16">
                  <c:v>43951</c:v>
                </c:pt>
                <c:pt idx="17">
                  <c:v>43982</c:v>
                </c:pt>
                <c:pt idx="18">
                  <c:v>44012</c:v>
                </c:pt>
                <c:pt idx="19">
                  <c:v>44043</c:v>
                </c:pt>
                <c:pt idx="20">
                  <c:v>44074</c:v>
                </c:pt>
                <c:pt idx="21">
                  <c:v>44104</c:v>
                </c:pt>
                <c:pt idx="22">
                  <c:v>44135</c:v>
                </c:pt>
                <c:pt idx="23">
                  <c:v>44165</c:v>
                </c:pt>
                <c:pt idx="24">
                  <c:v>44196</c:v>
                </c:pt>
                <c:pt idx="25">
                  <c:v>44227</c:v>
                </c:pt>
                <c:pt idx="26">
                  <c:v>44255</c:v>
                </c:pt>
                <c:pt idx="27">
                  <c:v>44286</c:v>
                </c:pt>
                <c:pt idx="28">
                  <c:v>44316</c:v>
                </c:pt>
                <c:pt idx="29">
                  <c:v>44347</c:v>
                </c:pt>
                <c:pt idx="30">
                  <c:v>44377</c:v>
                </c:pt>
                <c:pt idx="31">
                  <c:v>44408</c:v>
                </c:pt>
                <c:pt idx="32">
                  <c:v>44438</c:v>
                </c:pt>
                <c:pt idx="33">
                  <c:v>44469</c:v>
                </c:pt>
                <c:pt idx="34">
                  <c:v>44500</c:v>
                </c:pt>
                <c:pt idx="35">
                  <c:v>44530</c:v>
                </c:pt>
                <c:pt idx="36">
                  <c:v>44561</c:v>
                </c:pt>
                <c:pt idx="37">
                  <c:v>44592</c:v>
                </c:pt>
                <c:pt idx="38">
                  <c:v>44620</c:v>
                </c:pt>
                <c:pt idx="39">
                  <c:v>44651</c:v>
                </c:pt>
                <c:pt idx="40">
                  <c:v>44681</c:v>
                </c:pt>
                <c:pt idx="41">
                  <c:v>44712</c:v>
                </c:pt>
                <c:pt idx="42">
                  <c:v>44742</c:v>
                </c:pt>
                <c:pt idx="43">
                  <c:v>44773</c:v>
                </c:pt>
                <c:pt idx="44">
                  <c:v>44803</c:v>
                </c:pt>
                <c:pt idx="45">
                  <c:v>44834</c:v>
                </c:pt>
                <c:pt idx="46">
                  <c:v>44865</c:v>
                </c:pt>
                <c:pt idx="47">
                  <c:v>44895</c:v>
                </c:pt>
                <c:pt idx="48">
                  <c:v>44926</c:v>
                </c:pt>
              </c:numCache>
            </c:numRef>
          </c:cat>
          <c:val>
            <c:numRef>
              <c:f>'PLE Financial History'!$BJ$123:$DF$123</c:f>
              <c:numCache>
                <c:formatCode>"$"#,##0</c:formatCode>
                <c:ptCount val="49"/>
                <c:pt idx="36">
                  <c:v>22706.149999999991</c:v>
                </c:pt>
                <c:pt idx="37">
                  <c:v>21516.07</c:v>
                </c:pt>
                <c:pt idx="38">
                  <c:v>20677.989999999998</c:v>
                </c:pt>
                <c:pt idx="39">
                  <c:v>19609.899999999998</c:v>
                </c:pt>
                <c:pt idx="40">
                  <c:v>28979.819999999996</c:v>
                </c:pt>
                <c:pt idx="41">
                  <c:v>30369.739999999998</c:v>
                </c:pt>
                <c:pt idx="42">
                  <c:v>29038.46</c:v>
                </c:pt>
                <c:pt idx="43">
                  <c:v>27848.379999999997</c:v>
                </c:pt>
                <c:pt idx="44">
                  <c:v>28478.299999999996</c:v>
                </c:pt>
                <c:pt idx="45">
                  <c:v>27982.919999999995</c:v>
                </c:pt>
                <c:pt idx="46">
                  <c:v>26842.839999999997</c:v>
                </c:pt>
                <c:pt idx="47">
                  <c:v>26082.759999999995</c:v>
                </c:pt>
                <c:pt idx="48">
                  <c:v>24307.169999999995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4E98-46A2-9E13-B7FE114C0A5F}"/>
            </c:ext>
          </c:extLst>
        </c:ser>
        <c:ser>
          <c:idx val="8"/>
          <c:order val="9"/>
          <c:tx>
            <c:v>FA &amp; 3 Mo Reserve</c:v>
          </c:tx>
          <c:spPr>
            <a:ln w="38100" cap="rnd">
              <a:solidFill>
                <a:schemeClr val="bg1">
                  <a:lumMod val="75000"/>
                </a:schemeClr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'PLE Financial History'!$BJ$114:$DF$114</c:f>
              <c:numCache>
                <c:formatCode>m/d/yy;@</c:formatCode>
                <c:ptCount val="49"/>
                <c:pt idx="0">
                  <c:v>43465</c:v>
                </c:pt>
                <c:pt idx="1">
                  <c:v>43496</c:v>
                </c:pt>
                <c:pt idx="2">
                  <c:v>43524</c:v>
                </c:pt>
                <c:pt idx="3">
                  <c:v>43555</c:v>
                </c:pt>
                <c:pt idx="4">
                  <c:v>43585</c:v>
                </c:pt>
                <c:pt idx="5">
                  <c:v>43616</c:v>
                </c:pt>
                <c:pt idx="6">
                  <c:v>43646</c:v>
                </c:pt>
                <c:pt idx="7">
                  <c:v>43677</c:v>
                </c:pt>
                <c:pt idx="8">
                  <c:v>43708</c:v>
                </c:pt>
                <c:pt idx="9">
                  <c:v>43738</c:v>
                </c:pt>
                <c:pt idx="10">
                  <c:v>43769</c:v>
                </c:pt>
                <c:pt idx="11">
                  <c:v>43799</c:v>
                </c:pt>
                <c:pt idx="12">
                  <c:v>43830</c:v>
                </c:pt>
                <c:pt idx="13">
                  <c:v>43861</c:v>
                </c:pt>
                <c:pt idx="14">
                  <c:v>43889</c:v>
                </c:pt>
                <c:pt idx="15">
                  <c:v>43921</c:v>
                </c:pt>
                <c:pt idx="16">
                  <c:v>43951</c:v>
                </c:pt>
                <c:pt idx="17">
                  <c:v>43982</c:v>
                </c:pt>
                <c:pt idx="18">
                  <c:v>44012</c:v>
                </c:pt>
                <c:pt idx="19">
                  <c:v>44043</c:v>
                </c:pt>
                <c:pt idx="20">
                  <c:v>44074</c:v>
                </c:pt>
                <c:pt idx="21">
                  <c:v>44104</c:v>
                </c:pt>
                <c:pt idx="22">
                  <c:v>44135</c:v>
                </c:pt>
                <c:pt idx="23">
                  <c:v>44165</c:v>
                </c:pt>
                <c:pt idx="24">
                  <c:v>44196</c:v>
                </c:pt>
                <c:pt idx="25">
                  <c:v>44227</c:v>
                </c:pt>
                <c:pt idx="26">
                  <c:v>44255</c:v>
                </c:pt>
                <c:pt idx="27">
                  <c:v>44286</c:v>
                </c:pt>
                <c:pt idx="28">
                  <c:v>44316</c:v>
                </c:pt>
                <c:pt idx="29">
                  <c:v>44347</c:v>
                </c:pt>
                <c:pt idx="30">
                  <c:v>44377</c:v>
                </c:pt>
                <c:pt idx="31">
                  <c:v>44408</c:v>
                </c:pt>
                <c:pt idx="32">
                  <c:v>44438</c:v>
                </c:pt>
                <c:pt idx="33">
                  <c:v>44469</c:v>
                </c:pt>
                <c:pt idx="34">
                  <c:v>44500</c:v>
                </c:pt>
                <c:pt idx="35">
                  <c:v>44530</c:v>
                </c:pt>
                <c:pt idx="36">
                  <c:v>44561</c:v>
                </c:pt>
                <c:pt idx="37">
                  <c:v>44592</c:v>
                </c:pt>
                <c:pt idx="38">
                  <c:v>44620</c:v>
                </c:pt>
                <c:pt idx="39">
                  <c:v>44651</c:v>
                </c:pt>
                <c:pt idx="40">
                  <c:v>44681</c:v>
                </c:pt>
                <c:pt idx="41">
                  <c:v>44712</c:v>
                </c:pt>
                <c:pt idx="42">
                  <c:v>44742</c:v>
                </c:pt>
                <c:pt idx="43">
                  <c:v>44773</c:v>
                </c:pt>
                <c:pt idx="44">
                  <c:v>44803</c:v>
                </c:pt>
                <c:pt idx="45">
                  <c:v>44834</c:v>
                </c:pt>
                <c:pt idx="46">
                  <c:v>44865</c:v>
                </c:pt>
                <c:pt idx="47">
                  <c:v>44895</c:v>
                </c:pt>
                <c:pt idx="48">
                  <c:v>44926</c:v>
                </c:pt>
              </c:numCache>
            </c:numRef>
          </c:cat>
          <c:val>
            <c:numRef>
              <c:f>'PLE Financial History'!$BJ$124:$DF$124</c:f>
              <c:numCache>
                <c:formatCode>"$"#,##0</c:formatCode>
                <c:ptCount val="49"/>
                <c:pt idx="0">
                  <c:v>9900</c:v>
                </c:pt>
                <c:pt idx="1">
                  <c:v>9980.6</c:v>
                </c:pt>
                <c:pt idx="2">
                  <c:v>10061.200000000001</c:v>
                </c:pt>
                <c:pt idx="3">
                  <c:v>10141.800000000001</c:v>
                </c:pt>
                <c:pt idx="4">
                  <c:v>10222.400000000001</c:v>
                </c:pt>
                <c:pt idx="5">
                  <c:v>10303.000000000002</c:v>
                </c:pt>
                <c:pt idx="6">
                  <c:v>10383.600000000002</c:v>
                </c:pt>
                <c:pt idx="7">
                  <c:v>10464.200000000003</c:v>
                </c:pt>
                <c:pt idx="8">
                  <c:v>10544.800000000003</c:v>
                </c:pt>
                <c:pt idx="9">
                  <c:v>10625.400000000003</c:v>
                </c:pt>
                <c:pt idx="10">
                  <c:v>10706.000000000004</c:v>
                </c:pt>
                <c:pt idx="11">
                  <c:v>10786.600000000004</c:v>
                </c:pt>
                <c:pt idx="12">
                  <c:v>10866.666666666668</c:v>
                </c:pt>
                <c:pt idx="13">
                  <c:v>10947.166666666668</c:v>
                </c:pt>
                <c:pt idx="14">
                  <c:v>11027.666666666668</c:v>
                </c:pt>
                <c:pt idx="15">
                  <c:v>11108.166666666668</c:v>
                </c:pt>
                <c:pt idx="16">
                  <c:v>11188.666666666668</c:v>
                </c:pt>
                <c:pt idx="17">
                  <c:v>11269.166666666668</c:v>
                </c:pt>
                <c:pt idx="18">
                  <c:v>11349.666666666668</c:v>
                </c:pt>
                <c:pt idx="19">
                  <c:v>11430.166666666668</c:v>
                </c:pt>
                <c:pt idx="20">
                  <c:v>11510.666666666668</c:v>
                </c:pt>
                <c:pt idx="21">
                  <c:v>11591.166666666668</c:v>
                </c:pt>
                <c:pt idx="22">
                  <c:v>11671.666666666668</c:v>
                </c:pt>
                <c:pt idx="23">
                  <c:v>11752.166666666668</c:v>
                </c:pt>
                <c:pt idx="24">
                  <c:v>11833.333333333334</c:v>
                </c:pt>
                <c:pt idx="25">
                  <c:v>11913.933333333334</c:v>
                </c:pt>
                <c:pt idx="26">
                  <c:v>11994.533333333335</c:v>
                </c:pt>
                <c:pt idx="27">
                  <c:v>12075.133333333335</c:v>
                </c:pt>
                <c:pt idx="28">
                  <c:v>12155.733333333335</c:v>
                </c:pt>
                <c:pt idx="29">
                  <c:v>12236.333333333336</c:v>
                </c:pt>
                <c:pt idx="30">
                  <c:v>12316.933333333336</c:v>
                </c:pt>
                <c:pt idx="31">
                  <c:v>12397.533333333336</c:v>
                </c:pt>
                <c:pt idx="32">
                  <c:v>12478.133333333337</c:v>
                </c:pt>
                <c:pt idx="33">
                  <c:v>12558.733333333337</c:v>
                </c:pt>
                <c:pt idx="34">
                  <c:v>12639.333333333338</c:v>
                </c:pt>
                <c:pt idx="35">
                  <c:v>12719.933333333338</c:v>
                </c:pt>
                <c:pt idx="36">
                  <c:v>12800</c:v>
                </c:pt>
                <c:pt idx="37">
                  <c:v>12880.6</c:v>
                </c:pt>
                <c:pt idx="38">
                  <c:v>12961.2</c:v>
                </c:pt>
                <c:pt idx="39">
                  <c:v>13041.800000000001</c:v>
                </c:pt>
                <c:pt idx="40">
                  <c:v>13122.400000000001</c:v>
                </c:pt>
                <c:pt idx="41">
                  <c:v>13203.000000000002</c:v>
                </c:pt>
                <c:pt idx="42">
                  <c:v>13283.600000000002</c:v>
                </c:pt>
                <c:pt idx="43">
                  <c:v>13364.200000000003</c:v>
                </c:pt>
                <c:pt idx="44">
                  <c:v>13444.800000000003</c:v>
                </c:pt>
                <c:pt idx="45">
                  <c:v>13525.400000000003</c:v>
                </c:pt>
                <c:pt idx="46">
                  <c:v>13606.000000000004</c:v>
                </c:pt>
                <c:pt idx="47">
                  <c:v>13686.600000000004</c:v>
                </c:pt>
                <c:pt idx="48">
                  <c:v>13767.200000000004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E98-46A2-9E13-B7FE114C0A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0537264"/>
        <c:axId val="410538048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v>2014</c:v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'PLE Financial History'!$BJ$114:$DF$114</c15:sqref>
                        </c15:formulaRef>
                      </c:ext>
                    </c:extLst>
                    <c:numCache>
                      <c:formatCode>m/d/yy;@</c:formatCode>
                      <c:ptCount val="49"/>
                      <c:pt idx="0">
                        <c:v>43465</c:v>
                      </c:pt>
                      <c:pt idx="1">
                        <c:v>43496</c:v>
                      </c:pt>
                      <c:pt idx="2">
                        <c:v>43524</c:v>
                      </c:pt>
                      <c:pt idx="3">
                        <c:v>43555</c:v>
                      </c:pt>
                      <c:pt idx="4">
                        <c:v>43585</c:v>
                      </c:pt>
                      <c:pt idx="5">
                        <c:v>43616</c:v>
                      </c:pt>
                      <c:pt idx="6">
                        <c:v>43646</c:v>
                      </c:pt>
                      <c:pt idx="7">
                        <c:v>43677</c:v>
                      </c:pt>
                      <c:pt idx="8">
                        <c:v>43708</c:v>
                      </c:pt>
                      <c:pt idx="9">
                        <c:v>43738</c:v>
                      </c:pt>
                      <c:pt idx="10">
                        <c:v>43769</c:v>
                      </c:pt>
                      <c:pt idx="11">
                        <c:v>43799</c:v>
                      </c:pt>
                      <c:pt idx="12">
                        <c:v>43830</c:v>
                      </c:pt>
                      <c:pt idx="13">
                        <c:v>43861</c:v>
                      </c:pt>
                      <c:pt idx="14">
                        <c:v>43889</c:v>
                      </c:pt>
                      <c:pt idx="15">
                        <c:v>43921</c:v>
                      </c:pt>
                      <c:pt idx="16">
                        <c:v>43951</c:v>
                      </c:pt>
                      <c:pt idx="17">
                        <c:v>43982</c:v>
                      </c:pt>
                      <c:pt idx="18">
                        <c:v>44012</c:v>
                      </c:pt>
                      <c:pt idx="19">
                        <c:v>44043</c:v>
                      </c:pt>
                      <c:pt idx="20">
                        <c:v>44074</c:v>
                      </c:pt>
                      <c:pt idx="21">
                        <c:v>44104</c:v>
                      </c:pt>
                      <c:pt idx="22">
                        <c:v>44135</c:v>
                      </c:pt>
                      <c:pt idx="23">
                        <c:v>44165</c:v>
                      </c:pt>
                      <c:pt idx="24">
                        <c:v>44196</c:v>
                      </c:pt>
                      <c:pt idx="25">
                        <c:v>44227</c:v>
                      </c:pt>
                      <c:pt idx="26">
                        <c:v>44255</c:v>
                      </c:pt>
                      <c:pt idx="27">
                        <c:v>44286</c:v>
                      </c:pt>
                      <c:pt idx="28">
                        <c:v>44316</c:v>
                      </c:pt>
                      <c:pt idx="29">
                        <c:v>44347</c:v>
                      </c:pt>
                      <c:pt idx="30">
                        <c:v>44377</c:v>
                      </c:pt>
                      <c:pt idx="31">
                        <c:v>44408</c:v>
                      </c:pt>
                      <c:pt idx="32">
                        <c:v>44438</c:v>
                      </c:pt>
                      <c:pt idx="33">
                        <c:v>44469</c:v>
                      </c:pt>
                      <c:pt idx="34">
                        <c:v>44500</c:v>
                      </c:pt>
                      <c:pt idx="35">
                        <c:v>44530</c:v>
                      </c:pt>
                      <c:pt idx="36">
                        <c:v>44561</c:v>
                      </c:pt>
                      <c:pt idx="37">
                        <c:v>44592</c:v>
                      </c:pt>
                      <c:pt idx="38">
                        <c:v>44620</c:v>
                      </c:pt>
                      <c:pt idx="39">
                        <c:v>44651</c:v>
                      </c:pt>
                      <c:pt idx="40">
                        <c:v>44681</c:v>
                      </c:pt>
                      <c:pt idx="41">
                        <c:v>44712</c:v>
                      </c:pt>
                      <c:pt idx="42">
                        <c:v>44742</c:v>
                      </c:pt>
                      <c:pt idx="43">
                        <c:v>44773</c:v>
                      </c:pt>
                      <c:pt idx="44">
                        <c:v>44803</c:v>
                      </c:pt>
                      <c:pt idx="45">
                        <c:v>44834</c:v>
                      </c:pt>
                      <c:pt idx="46">
                        <c:v>44865</c:v>
                      </c:pt>
                      <c:pt idx="47">
                        <c:v>44895</c:v>
                      </c:pt>
                      <c:pt idx="48">
                        <c:v>44926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'PLE Financial History'!$C$115:$CU$115</c15:sqref>
                        </c15:formulaRef>
                      </c:ext>
                    </c:extLst>
                    <c:numCache>
                      <c:formatCode>"$"#,##0</c:formatCode>
                      <c:ptCount val="97"/>
                      <c:pt idx="0">
                        <c:v>26217.55</c:v>
                      </c:pt>
                      <c:pt idx="1">
                        <c:v>25610.5</c:v>
                      </c:pt>
                      <c:pt idx="2">
                        <c:v>22992.850000000002</c:v>
                      </c:pt>
                      <c:pt idx="3">
                        <c:v>32106.78</c:v>
                      </c:pt>
                      <c:pt idx="4">
                        <c:v>33597.889999999992</c:v>
                      </c:pt>
                      <c:pt idx="5">
                        <c:v>33720.639999999992</c:v>
                      </c:pt>
                      <c:pt idx="6">
                        <c:v>32682.28999999999</c:v>
                      </c:pt>
                      <c:pt idx="7">
                        <c:v>32574.35999999999</c:v>
                      </c:pt>
                      <c:pt idx="8">
                        <c:v>32000.149999999987</c:v>
                      </c:pt>
                      <c:pt idx="9">
                        <c:v>29908.169999999987</c:v>
                      </c:pt>
                      <c:pt idx="10">
                        <c:v>28920.459999999985</c:v>
                      </c:pt>
                      <c:pt idx="11">
                        <c:v>28293.219999999987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4-4E98-46A2-9E13-B7FE114C0A5F}"/>
                  </c:ext>
                </c:extLst>
              </c15:ser>
            </c15:filteredLineSeries>
            <c15:filteredLin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'PLE Financial History'!$C$104:$D$104</c15:sqref>
                        </c15:formulaRef>
                      </c:ext>
                    </c:extLst>
                    <c:strCache>
                      <c:ptCount val="2"/>
                      <c:pt idx="0">
                        <c:v>2015</c:v>
                      </c:pt>
                    </c:strCache>
                  </c:strRef>
                </c:tx>
                <c:spPr>
                  <a:ln w="28575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'PLE Financial History'!$BJ$114:$DF$114</c15:sqref>
                        </c15:formulaRef>
                      </c:ext>
                    </c:extLst>
                    <c:numCache>
                      <c:formatCode>m/d/yy;@</c:formatCode>
                      <c:ptCount val="49"/>
                      <c:pt idx="0">
                        <c:v>43465</c:v>
                      </c:pt>
                      <c:pt idx="1">
                        <c:v>43496</c:v>
                      </c:pt>
                      <c:pt idx="2">
                        <c:v>43524</c:v>
                      </c:pt>
                      <c:pt idx="3">
                        <c:v>43555</c:v>
                      </c:pt>
                      <c:pt idx="4">
                        <c:v>43585</c:v>
                      </c:pt>
                      <c:pt idx="5">
                        <c:v>43616</c:v>
                      </c:pt>
                      <c:pt idx="6">
                        <c:v>43646</c:v>
                      </c:pt>
                      <c:pt idx="7">
                        <c:v>43677</c:v>
                      </c:pt>
                      <c:pt idx="8">
                        <c:v>43708</c:v>
                      </c:pt>
                      <c:pt idx="9">
                        <c:v>43738</c:v>
                      </c:pt>
                      <c:pt idx="10">
                        <c:v>43769</c:v>
                      </c:pt>
                      <c:pt idx="11">
                        <c:v>43799</c:v>
                      </c:pt>
                      <c:pt idx="12">
                        <c:v>43830</c:v>
                      </c:pt>
                      <c:pt idx="13">
                        <c:v>43861</c:v>
                      </c:pt>
                      <c:pt idx="14">
                        <c:v>43889</c:v>
                      </c:pt>
                      <c:pt idx="15">
                        <c:v>43921</c:v>
                      </c:pt>
                      <c:pt idx="16">
                        <c:v>43951</c:v>
                      </c:pt>
                      <c:pt idx="17">
                        <c:v>43982</c:v>
                      </c:pt>
                      <c:pt idx="18">
                        <c:v>44012</c:v>
                      </c:pt>
                      <c:pt idx="19">
                        <c:v>44043</c:v>
                      </c:pt>
                      <c:pt idx="20">
                        <c:v>44074</c:v>
                      </c:pt>
                      <c:pt idx="21">
                        <c:v>44104</c:v>
                      </c:pt>
                      <c:pt idx="22">
                        <c:v>44135</c:v>
                      </c:pt>
                      <c:pt idx="23">
                        <c:v>44165</c:v>
                      </c:pt>
                      <c:pt idx="24">
                        <c:v>44196</c:v>
                      </c:pt>
                      <c:pt idx="25">
                        <c:v>44227</c:v>
                      </c:pt>
                      <c:pt idx="26">
                        <c:v>44255</c:v>
                      </c:pt>
                      <c:pt idx="27">
                        <c:v>44286</c:v>
                      </c:pt>
                      <c:pt idx="28">
                        <c:v>44316</c:v>
                      </c:pt>
                      <c:pt idx="29">
                        <c:v>44347</c:v>
                      </c:pt>
                      <c:pt idx="30">
                        <c:v>44377</c:v>
                      </c:pt>
                      <c:pt idx="31">
                        <c:v>44408</c:v>
                      </c:pt>
                      <c:pt idx="32">
                        <c:v>44438</c:v>
                      </c:pt>
                      <c:pt idx="33">
                        <c:v>44469</c:v>
                      </c:pt>
                      <c:pt idx="34">
                        <c:v>44500</c:v>
                      </c:pt>
                      <c:pt idx="35">
                        <c:v>44530</c:v>
                      </c:pt>
                      <c:pt idx="36">
                        <c:v>44561</c:v>
                      </c:pt>
                      <c:pt idx="37">
                        <c:v>44592</c:v>
                      </c:pt>
                      <c:pt idx="38">
                        <c:v>44620</c:v>
                      </c:pt>
                      <c:pt idx="39">
                        <c:v>44651</c:v>
                      </c:pt>
                      <c:pt idx="40">
                        <c:v>44681</c:v>
                      </c:pt>
                      <c:pt idx="41">
                        <c:v>44712</c:v>
                      </c:pt>
                      <c:pt idx="42">
                        <c:v>44742</c:v>
                      </c:pt>
                      <c:pt idx="43">
                        <c:v>44773</c:v>
                      </c:pt>
                      <c:pt idx="44">
                        <c:v>44803</c:v>
                      </c:pt>
                      <c:pt idx="45">
                        <c:v>44834</c:v>
                      </c:pt>
                      <c:pt idx="46">
                        <c:v>44865</c:v>
                      </c:pt>
                      <c:pt idx="47">
                        <c:v>44895</c:v>
                      </c:pt>
                      <c:pt idx="48">
                        <c:v>44926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'PLE Financial History'!$C$116:$CU$116</c15:sqref>
                        </c15:formulaRef>
                      </c:ext>
                    </c:extLst>
                    <c:numCache>
                      <c:formatCode>"$"#,##0</c:formatCode>
                      <c:ptCount val="97"/>
                      <c:pt idx="11">
                        <c:v>28293.219999999987</c:v>
                      </c:pt>
                      <c:pt idx="12">
                        <c:v>28293.49</c:v>
                      </c:pt>
                      <c:pt idx="13">
                        <c:v>28165.210000000003</c:v>
                      </c:pt>
                      <c:pt idx="14">
                        <c:v>26607.550000000003</c:v>
                      </c:pt>
                      <c:pt idx="15">
                        <c:v>37348.320000000007</c:v>
                      </c:pt>
                      <c:pt idx="16">
                        <c:v>36299.810000000005</c:v>
                      </c:pt>
                      <c:pt idx="17">
                        <c:v>35592.200000000004</c:v>
                      </c:pt>
                      <c:pt idx="18">
                        <c:v>35063</c:v>
                      </c:pt>
                      <c:pt idx="19">
                        <c:v>33137</c:v>
                      </c:pt>
                      <c:pt idx="20">
                        <c:v>32595.63</c:v>
                      </c:pt>
                      <c:pt idx="21">
                        <c:v>26470.730000000003</c:v>
                      </c:pt>
                      <c:pt idx="22">
                        <c:v>25951.68</c:v>
                      </c:pt>
                      <c:pt idx="23">
                        <c:v>25332.04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4E98-46A2-9E13-B7FE114C0A5F}"/>
                  </c:ext>
                </c:extLst>
              </c15:ser>
            </c15:filteredLineSeries>
            <c15:filteredLin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'PLE Financial History'!$C$105</c15:sqref>
                        </c15:formulaRef>
                      </c:ext>
                    </c:extLst>
                    <c:strCache>
                      <c:ptCount val="1"/>
                      <c:pt idx="0">
                        <c:v>2016</c:v>
                      </c:pt>
                    </c:strCache>
                  </c:strRef>
                </c:tx>
                <c:spPr>
                  <a:ln w="28575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'PLE Financial History'!$BJ$114:$DF$114</c15:sqref>
                        </c15:formulaRef>
                      </c:ext>
                    </c:extLst>
                    <c:numCache>
                      <c:formatCode>m/d/yy;@</c:formatCode>
                      <c:ptCount val="49"/>
                      <c:pt idx="0">
                        <c:v>43465</c:v>
                      </c:pt>
                      <c:pt idx="1">
                        <c:v>43496</c:v>
                      </c:pt>
                      <c:pt idx="2">
                        <c:v>43524</c:v>
                      </c:pt>
                      <c:pt idx="3">
                        <c:v>43555</c:v>
                      </c:pt>
                      <c:pt idx="4">
                        <c:v>43585</c:v>
                      </c:pt>
                      <c:pt idx="5">
                        <c:v>43616</c:v>
                      </c:pt>
                      <c:pt idx="6">
                        <c:v>43646</c:v>
                      </c:pt>
                      <c:pt idx="7">
                        <c:v>43677</c:v>
                      </c:pt>
                      <c:pt idx="8">
                        <c:v>43708</c:v>
                      </c:pt>
                      <c:pt idx="9">
                        <c:v>43738</c:v>
                      </c:pt>
                      <c:pt idx="10">
                        <c:v>43769</c:v>
                      </c:pt>
                      <c:pt idx="11">
                        <c:v>43799</c:v>
                      </c:pt>
                      <c:pt idx="12">
                        <c:v>43830</c:v>
                      </c:pt>
                      <c:pt idx="13">
                        <c:v>43861</c:v>
                      </c:pt>
                      <c:pt idx="14">
                        <c:v>43889</c:v>
                      </c:pt>
                      <c:pt idx="15">
                        <c:v>43921</c:v>
                      </c:pt>
                      <c:pt idx="16">
                        <c:v>43951</c:v>
                      </c:pt>
                      <c:pt idx="17">
                        <c:v>43982</c:v>
                      </c:pt>
                      <c:pt idx="18">
                        <c:v>44012</c:v>
                      </c:pt>
                      <c:pt idx="19">
                        <c:v>44043</c:v>
                      </c:pt>
                      <c:pt idx="20">
                        <c:v>44074</c:v>
                      </c:pt>
                      <c:pt idx="21">
                        <c:v>44104</c:v>
                      </c:pt>
                      <c:pt idx="22">
                        <c:v>44135</c:v>
                      </c:pt>
                      <c:pt idx="23">
                        <c:v>44165</c:v>
                      </c:pt>
                      <c:pt idx="24">
                        <c:v>44196</c:v>
                      </c:pt>
                      <c:pt idx="25">
                        <c:v>44227</c:v>
                      </c:pt>
                      <c:pt idx="26">
                        <c:v>44255</c:v>
                      </c:pt>
                      <c:pt idx="27">
                        <c:v>44286</c:v>
                      </c:pt>
                      <c:pt idx="28">
                        <c:v>44316</c:v>
                      </c:pt>
                      <c:pt idx="29">
                        <c:v>44347</c:v>
                      </c:pt>
                      <c:pt idx="30">
                        <c:v>44377</c:v>
                      </c:pt>
                      <c:pt idx="31">
                        <c:v>44408</c:v>
                      </c:pt>
                      <c:pt idx="32">
                        <c:v>44438</c:v>
                      </c:pt>
                      <c:pt idx="33">
                        <c:v>44469</c:v>
                      </c:pt>
                      <c:pt idx="34">
                        <c:v>44500</c:v>
                      </c:pt>
                      <c:pt idx="35">
                        <c:v>44530</c:v>
                      </c:pt>
                      <c:pt idx="36">
                        <c:v>44561</c:v>
                      </c:pt>
                      <c:pt idx="37">
                        <c:v>44592</c:v>
                      </c:pt>
                      <c:pt idx="38">
                        <c:v>44620</c:v>
                      </c:pt>
                      <c:pt idx="39">
                        <c:v>44651</c:v>
                      </c:pt>
                      <c:pt idx="40">
                        <c:v>44681</c:v>
                      </c:pt>
                      <c:pt idx="41">
                        <c:v>44712</c:v>
                      </c:pt>
                      <c:pt idx="42">
                        <c:v>44742</c:v>
                      </c:pt>
                      <c:pt idx="43">
                        <c:v>44773</c:v>
                      </c:pt>
                      <c:pt idx="44">
                        <c:v>44803</c:v>
                      </c:pt>
                      <c:pt idx="45">
                        <c:v>44834</c:v>
                      </c:pt>
                      <c:pt idx="46">
                        <c:v>44865</c:v>
                      </c:pt>
                      <c:pt idx="47">
                        <c:v>44895</c:v>
                      </c:pt>
                      <c:pt idx="48">
                        <c:v>44926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'PLE Financial History'!$C$117:$CU$117</c15:sqref>
                        </c15:formulaRef>
                      </c:ext>
                    </c:extLst>
                    <c:numCache>
                      <c:formatCode>"$"#,##0</c:formatCode>
                      <c:ptCount val="97"/>
                      <c:pt idx="23">
                        <c:v>25332.04</c:v>
                      </c:pt>
                      <c:pt idx="24">
                        <c:v>13857.230000000003</c:v>
                      </c:pt>
                      <c:pt idx="25">
                        <c:v>13190.530000000002</c:v>
                      </c:pt>
                      <c:pt idx="26">
                        <c:v>17397.750000000004</c:v>
                      </c:pt>
                      <c:pt idx="27">
                        <c:v>23078.600000000002</c:v>
                      </c:pt>
                      <c:pt idx="28">
                        <c:v>23661.850000000002</c:v>
                      </c:pt>
                      <c:pt idx="29">
                        <c:v>23593.770000000004</c:v>
                      </c:pt>
                      <c:pt idx="30">
                        <c:v>22945.120000000003</c:v>
                      </c:pt>
                      <c:pt idx="31">
                        <c:v>22203.530000000002</c:v>
                      </c:pt>
                      <c:pt idx="32">
                        <c:v>21554.880000000001</c:v>
                      </c:pt>
                      <c:pt idx="33">
                        <c:v>20838.02</c:v>
                      </c:pt>
                      <c:pt idx="34">
                        <c:v>20524.690000000002</c:v>
                      </c:pt>
                      <c:pt idx="35">
                        <c:v>19783.100000000002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4E98-46A2-9E13-B7FE114C0A5F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'PLE Financial History'!$C$106:$D$106</c15:sqref>
                        </c15:formulaRef>
                      </c:ext>
                    </c:extLst>
                    <c:strCache>
                      <c:ptCount val="2"/>
                      <c:pt idx="0">
                        <c:v>2017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'PLE Financial History'!$BJ$114:$DF$114</c15:sqref>
                        </c15:formulaRef>
                      </c:ext>
                    </c:extLst>
                    <c:numCache>
                      <c:formatCode>m/d/yy;@</c:formatCode>
                      <c:ptCount val="49"/>
                      <c:pt idx="0">
                        <c:v>43465</c:v>
                      </c:pt>
                      <c:pt idx="1">
                        <c:v>43496</c:v>
                      </c:pt>
                      <c:pt idx="2">
                        <c:v>43524</c:v>
                      </c:pt>
                      <c:pt idx="3">
                        <c:v>43555</c:v>
                      </c:pt>
                      <c:pt idx="4">
                        <c:v>43585</c:v>
                      </c:pt>
                      <c:pt idx="5">
                        <c:v>43616</c:v>
                      </c:pt>
                      <c:pt idx="6">
                        <c:v>43646</c:v>
                      </c:pt>
                      <c:pt idx="7">
                        <c:v>43677</c:v>
                      </c:pt>
                      <c:pt idx="8">
                        <c:v>43708</c:v>
                      </c:pt>
                      <c:pt idx="9">
                        <c:v>43738</c:v>
                      </c:pt>
                      <c:pt idx="10">
                        <c:v>43769</c:v>
                      </c:pt>
                      <c:pt idx="11">
                        <c:v>43799</c:v>
                      </c:pt>
                      <c:pt idx="12">
                        <c:v>43830</c:v>
                      </c:pt>
                      <c:pt idx="13">
                        <c:v>43861</c:v>
                      </c:pt>
                      <c:pt idx="14">
                        <c:v>43889</c:v>
                      </c:pt>
                      <c:pt idx="15">
                        <c:v>43921</c:v>
                      </c:pt>
                      <c:pt idx="16">
                        <c:v>43951</c:v>
                      </c:pt>
                      <c:pt idx="17">
                        <c:v>43982</c:v>
                      </c:pt>
                      <c:pt idx="18">
                        <c:v>44012</c:v>
                      </c:pt>
                      <c:pt idx="19">
                        <c:v>44043</c:v>
                      </c:pt>
                      <c:pt idx="20">
                        <c:v>44074</c:v>
                      </c:pt>
                      <c:pt idx="21">
                        <c:v>44104</c:v>
                      </c:pt>
                      <c:pt idx="22">
                        <c:v>44135</c:v>
                      </c:pt>
                      <c:pt idx="23">
                        <c:v>44165</c:v>
                      </c:pt>
                      <c:pt idx="24">
                        <c:v>44196</c:v>
                      </c:pt>
                      <c:pt idx="25">
                        <c:v>44227</c:v>
                      </c:pt>
                      <c:pt idx="26">
                        <c:v>44255</c:v>
                      </c:pt>
                      <c:pt idx="27">
                        <c:v>44286</c:v>
                      </c:pt>
                      <c:pt idx="28">
                        <c:v>44316</c:v>
                      </c:pt>
                      <c:pt idx="29">
                        <c:v>44347</c:v>
                      </c:pt>
                      <c:pt idx="30">
                        <c:v>44377</c:v>
                      </c:pt>
                      <c:pt idx="31">
                        <c:v>44408</c:v>
                      </c:pt>
                      <c:pt idx="32">
                        <c:v>44438</c:v>
                      </c:pt>
                      <c:pt idx="33">
                        <c:v>44469</c:v>
                      </c:pt>
                      <c:pt idx="34">
                        <c:v>44500</c:v>
                      </c:pt>
                      <c:pt idx="35">
                        <c:v>44530</c:v>
                      </c:pt>
                      <c:pt idx="36">
                        <c:v>44561</c:v>
                      </c:pt>
                      <c:pt idx="37">
                        <c:v>44592</c:v>
                      </c:pt>
                      <c:pt idx="38">
                        <c:v>44620</c:v>
                      </c:pt>
                      <c:pt idx="39">
                        <c:v>44651</c:v>
                      </c:pt>
                      <c:pt idx="40">
                        <c:v>44681</c:v>
                      </c:pt>
                      <c:pt idx="41">
                        <c:v>44712</c:v>
                      </c:pt>
                      <c:pt idx="42">
                        <c:v>44742</c:v>
                      </c:pt>
                      <c:pt idx="43">
                        <c:v>44773</c:v>
                      </c:pt>
                      <c:pt idx="44">
                        <c:v>44803</c:v>
                      </c:pt>
                      <c:pt idx="45">
                        <c:v>44834</c:v>
                      </c:pt>
                      <c:pt idx="46">
                        <c:v>44865</c:v>
                      </c:pt>
                      <c:pt idx="47">
                        <c:v>44895</c:v>
                      </c:pt>
                      <c:pt idx="48">
                        <c:v>44926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'PLE Financial History'!$C$118:$CU$118</c15:sqref>
                        </c15:formulaRef>
                      </c:ext>
                    </c:extLst>
                    <c:numCache>
                      <c:formatCode>"$"#,##0</c:formatCode>
                      <c:ptCount val="97"/>
                      <c:pt idx="35">
                        <c:v>19783.100000000002</c:v>
                      </c:pt>
                      <c:pt idx="36">
                        <c:v>19154.769999999997</c:v>
                      </c:pt>
                      <c:pt idx="37">
                        <c:v>18783.179999999997</c:v>
                      </c:pt>
                      <c:pt idx="38">
                        <c:v>22614.929999999997</c:v>
                      </c:pt>
                      <c:pt idx="39">
                        <c:v>27101.879999999997</c:v>
                      </c:pt>
                      <c:pt idx="40">
                        <c:v>27220.92</c:v>
                      </c:pt>
                      <c:pt idx="41">
                        <c:v>26831.109999999997</c:v>
                      </c:pt>
                      <c:pt idx="42">
                        <c:v>26181.67</c:v>
                      </c:pt>
                      <c:pt idx="43">
                        <c:v>25367.949999999997</c:v>
                      </c:pt>
                      <c:pt idx="44">
                        <c:v>24728.67</c:v>
                      </c:pt>
                      <c:pt idx="45">
                        <c:v>24676.26</c:v>
                      </c:pt>
                      <c:pt idx="46">
                        <c:v>23444.019999999997</c:v>
                      </c:pt>
                      <c:pt idx="47">
                        <c:v>23160.1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4E98-46A2-9E13-B7FE114C0A5F}"/>
                  </c:ext>
                </c:extLst>
              </c15:ser>
            </c15:filteredLineSeries>
            <c15:filteredLin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'PLE Financial History'!$C$107:$D$107</c15:sqref>
                        </c15:formulaRef>
                      </c:ext>
                    </c:extLst>
                    <c:strCache>
                      <c:ptCount val="2"/>
                      <c:pt idx="0">
                        <c:v>2018</c:v>
                      </c:pt>
                    </c:strCache>
                  </c:strRef>
                </c:tx>
                <c:spPr>
                  <a:ln w="28575" cap="rnd">
                    <a:solidFill>
                      <a:schemeClr val="accent5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'PLE Financial History'!$BJ$114:$DF$114</c15:sqref>
                        </c15:formulaRef>
                      </c:ext>
                    </c:extLst>
                    <c:numCache>
                      <c:formatCode>m/d/yy;@</c:formatCode>
                      <c:ptCount val="49"/>
                      <c:pt idx="0">
                        <c:v>43465</c:v>
                      </c:pt>
                      <c:pt idx="1">
                        <c:v>43496</c:v>
                      </c:pt>
                      <c:pt idx="2">
                        <c:v>43524</c:v>
                      </c:pt>
                      <c:pt idx="3">
                        <c:v>43555</c:v>
                      </c:pt>
                      <c:pt idx="4">
                        <c:v>43585</c:v>
                      </c:pt>
                      <c:pt idx="5">
                        <c:v>43616</c:v>
                      </c:pt>
                      <c:pt idx="6">
                        <c:v>43646</c:v>
                      </c:pt>
                      <c:pt idx="7">
                        <c:v>43677</c:v>
                      </c:pt>
                      <c:pt idx="8">
                        <c:v>43708</c:v>
                      </c:pt>
                      <c:pt idx="9">
                        <c:v>43738</c:v>
                      </c:pt>
                      <c:pt idx="10">
                        <c:v>43769</c:v>
                      </c:pt>
                      <c:pt idx="11">
                        <c:v>43799</c:v>
                      </c:pt>
                      <c:pt idx="12">
                        <c:v>43830</c:v>
                      </c:pt>
                      <c:pt idx="13">
                        <c:v>43861</c:v>
                      </c:pt>
                      <c:pt idx="14">
                        <c:v>43889</c:v>
                      </c:pt>
                      <c:pt idx="15">
                        <c:v>43921</c:v>
                      </c:pt>
                      <c:pt idx="16">
                        <c:v>43951</c:v>
                      </c:pt>
                      <c:pt idx="17">
                        <c:v>43982</c:v>
                      </c:pt>
                      <c:pt idx="18">
                        <c:v>44012</c:v>
                      </c:pt>
                      <c:pt idx="19">
                        <c:v>44043</c:v>
                      </c:pt>
                      <c:pt idx="20">
                        <c:v>44074</c:v>
                      </c:pt>
                      <c:pt idx="21">
                        <c:v>44104</c:v>
                      </c:pt>
                      <c:pt idx="22">
                        <c:v>44135</c:v>
                      </c:pt>
                      <c:pt idx="23">
                        <c:v>44165</c:v>
                      </c:pt>
                      <c:pt idx="24">
                        <c:v>44196</c:v>
                      </c:pt>
                      <c:pt idx="25">
                        <c:v>44227</c:v>
                      </c:pt>
                      <c:pt idx="26">
                        <c:v>44255</c:v>
                      </c:pt>
                      <c:pt idx="27">
                        <c:v>44286</c:v>
                      </c:pt>
                      <c:pt idx="28">
                        <c:v>44316</c:v>
                      </c:pt>
                      <c:pt idx="29">
                        <c:v>44347</c:v>
                      </c:pt>
                      <c:pt idx="30">
                        <c:v>44377</c:v>
                      </c:pt>
                      <c:pt idx="31">
                        <c:v>44408</c:v>
                      </c:pt>
                      <c:pt idx="32">
                        <c:v>44438</c:v>
                      </c:pt>
                      <c:pt idx="33">
                        <c:v>44469</c:v>
                      </c:pt>
                      <c:pt idx="34">
                        <c:v>44500</c:v>
                      </c:pt>
                      <c:pt idx="35">
                        <c:v>44530</c:v>
                      </c:pt>
                      <c:pt idx="36">
                        <c:v>44561</c:v>
                      </c:pt>
                      <c:pt idx="37">
                        <c:v>44592</c:v>
                      </c:pt>
                      <c:pt idx="38">
                        <c:v>44620</c:v>
                      </c:pt>
                      <c:pt idx="39">
                        <c:v>44651</c:v>
                      </c:pt>
                      <c:pt idx="40">
                        <c:v>44681</c:v>
                      </c:pt>
                      <c:pt idx="41">
                        <c:v>44712</c:v>
                      </c:pt>
                      <c:pt idx="42">
                        <c:v>44742</c:v>
                      </c:pt>
                      <c:pt idx="43">
                        <c:v>44773</c:v>
                      </c:pt>
                      <c:pt idx="44">
                        <c:v>44803</c:v>
                      </c:pt>
                      <c:pt idx="45">
                        <c:v>44834</c:v>
                      </c:pt>
                      <c:pt idx="46">
                        <c:v>44865</c:v>
                      </c:pt>
                      <c:pt idx="47">
                        <c:v>44895</c:v>
                      </c:pt>
                      <c:pt idx="48">
                        <c:v>44926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'PLE Financial History'!$C$119:$CU$119</c15:sqref>
                        </c15:formulaRef>
                      </c:ext>
                    </c:extLst>
                    <c:numCache>
                      <c:formatCode>"$"#,##0</c:formatCode>
                      <c:ptCount val="97"/>
                      <c:pt idx="47">
                        <c:v>23160.1</c:v>
                      </c:pt>
                      <c:pt idx="48">
                        <c:v>23101.599999999999</c:v>
                      </c:pt>
                      <c:pt idx="49">
                        <c:v>21853.059999999998</c:v>
                      </c:pt>
                      <c:pt idx="50">
                        <c:v>20425.819999999996</c:v>
                      </c:pt>
                      <c:pt idx="51">
                        <c:v>26154.379999999997</c:v>
                      </c:pt>
                      <c:pt idx="52">
                        <c:v>25841.51</c:v>
                      </c:pt>
                      <c:pt idx="53">
                        <c:v>25153.64</c:v>
                      </c:pt>
                      <c:pt idx="54">
                        <c:v>25091.14</c:v>
                      </c:pt>
                      <c:pt idx="55">
                        <c:v>24946.720000000001</c:v>
                      </c:pt>
                      <c:pt idx="56">
                        <c:v>23018.720000000001</c:v>
                      </c:pt>
                      <c:pt idx="57">
                        <c:v>21341.22</c:v>
                      </c:pt>
                      <c:pt idx="58">
                        <c:v>21607.32</c:v>
                      </c:pt>
                      <c:pt idx="59">
                        <c:v>23374.07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4E98-46A2-9E13-B7FE114C0A5F}"/>
                  </c:ext>
                </c:extLst>
              </c15:ser>
            </c15:filteredLineSeries>
          </c:ext>
        </c:extLst>
      </c:lineChart>
      <c:dateAx>
        <c:axId val="410537264"/>
        <c:scaling>
          <c:orientation val="minMax"/>
        </c:scaling>
        <c:delete val="0"/>
        <c:axPos val="b"/>
        <c:numFmt formatCode="[$-409]mmm\-yy;@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0538048"/>
        <c:crosses val="autoZero"/>
        <c:auto val="1"/>
        <c:lblOffset val="100"/>
        <c:baseTimeUnit val="months"/>
      </c:dateAx>
      <c:valAx>
        <c:axId val="410538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05372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3.3451536643025997E-2"/>
          <c:y val="9.7419550698239224E-2"/>
          <c:w val="0.94728132387706854"/>
          <c:h val="6.957794893124698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baseline="0">
                <a:solidFill>
                  <a:sysClr val="windowText" lastClr="000000"/>
                </a:solidFill>
              </a:rPr>
              <a:t>2014 HOA Expenses: Total = $327 Per Lot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113553579979447"/>
          <c:y val="0.20872271079249199"/>
          <c:w val="0.40845195458287226"/>
          <c:h val="0.70001112653389408"/>
        </c:manualLayout>
      </c:layout>
      <c:pieChart>
        <c:varyColors val="1"/>
        <c:ser>
          <c:idx val="1"/>
          <c:order val="0"/>
          <c:spPr>
            <a:scene3d>
              <a:camera prst="orthographicFront"/>
              <a:lightRig rig="threePt" dir="t"/>
            </a:scene3d>
            <a:sp3d>
              <a:bevelT/>
            </a:sp3d>
          </c:spPr>
          <c:dPt>
            <c:idx val="0"/>
            <c:bubble3D val="0"/>
            <c:spPr>
              <a:solidFill>
                <a:srgbClr val="993300"/>
              </a:solidFill>
              <a:ln w="19050">
                <a:solidFill>
                  <a:srgbClr val="993300"/>
                </a:solidFill>
              </a:ln>
              <a:effectLst/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1-7CB2-4FC4-8B87-9AF2B5FC77A7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 w="19050">
                <a:solidFill>
                  <a:srgbClr val="FFFF00"/>
                </a:solidFill>
              </a:ln>
              <a:effectLst/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3-7CB2-4FC4-8B87-9AF2B5FC77A7}"/>
              </c:ext>
            </c:extLst>
          </c:dPt>
          <c:dPt>
            <c:idx val="2"/>
            <c:bubble3D val="0"/>
            <c:spPr>
              <a:solidFill>
                <a:srgbClr val="FFC000"/>
              </a:solidFill>
              <a:ln w="19050">
                <a:solidFill>
                  <a:srgbClr val="FFC000"/>
                </a:solidFill>
              </a:ln>
              <a:effectLst/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5-7CB2-4FC4-8B87-9AF2B5FC77A7}"/>
              </c:ext>
            </c:extLst>
          </c:dPt>
          <c:dPt>
            <c:idx val="3"/>
            <c:bubble3D val="0"/>
            <c:spPr>
              <a:solidFill>
                <a:schemeClr val="bg1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7-7CB2-4FC4-8B87-9AF2B5FC77A7}"/>
              </c:ext>
            </c:extLst>
          </c:dPt>
          <c:dPt>
            <c:idx val="4"/>
            <c:bubble3D val="0"/>
            <c:spPr>
              <a:solidFill>
                <a:srgbClr val="FF0000"/>
              </a:solidFill>
              <a:ln w="19050">
                <a:solidFill>
                  <a:srgbClr val="FF0000"/>
                </a:solidFill>
              </a:ln>
              <a:effectLst/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9-7CB2-4FC4-8B87-9AF2B5FC77A7}"/>
              </c:ext>
            </c:extLst>
          </c:dPt>
          <c:dPt>
            <c:idx val="5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B-7CB2-4FC4-8B87-9AF2B5FC77A7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7CB2-4FC4-8B87-9AF2B5FC77A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'2014 ByMo'!$A$30:$A$35</c:f>
              <c:strCache>
                <c:ptCount val="6"/>
                <c:pt idx="0">
                  <c:v>Monthly Maintenance</c:v>
                </c:pt>
                <c:pt idx="1">
                  <c:v>Annual Maintenance</c:v>
                </c:pt>
                <c:pt idx="2">
                  <c:v>Periodic Maintenance</c:v>
                </c:pt>
                <c:pt idx="3">
                  <c:v>Insurance</c:v>
                </c:pt>
                <c:pt idx="4">
                  <c:v>Utilities</c:v>
                </c:pt>
                <c:pt idx="5">
                  <c:v>PO Box, Bank Fees, other</c:v>
                </c:pt>
              </c:strCache>
            </c:strRef>
          </c:cat>
          <c:val>
            <c:numRef>
              <c:f>'2014 ByMo'!$D$30:$D$35</c:f>
              <c:numCache>
                <c:formatCode>"$"#,##0</c:formatCode>
                <c:ptCount val="6"/>
                <c:pt idx="0">
                  <c:v>194.74124999999992</c:v>
                </c:pt>
                <c:pt idx="1">
                  <c:v>1.40625</c:v>
                </c:pt>
                <c:pt idx="2">
                  <c:v>60.840937500000003</c:v>
                </c:pt>
                <c:pt idx="3">
                  <c:v>19.28125</c:v>
                </c:pt>
                <c:pt idx="4">
                  <c:v>45.943125000000002</c:v>
                </c:pt>
                <c:pt idx="5">
                  <c:v>4.5903124999999996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7CB2-4FC4-8B87-9AF2B5FC77A7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9747527916821419"/>
          <c:y val="0.17879785317196559"/>
          <c:w val="0.38843129436100182"/>
          <c:h val="0.70590324694817885"/>
        </c:manualLayout>
      </c:layout>
      <c:overlay val="0"/>
      <c:spPr>
        <a:noFill/>
        <a:ln>
          <a:solidFill>
            <a:sysClr val="windowText" lastClr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2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baseline="0">
                <a:solidFill>
                  <a:sysClr val="windowText" lastClr="000000"/>
                </a:solidFill>
              </a:rPr>
              <a:t>2015 HOA Expenses: Total = $432 Per Lot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113553579979447"/>
          <c:y val="0.20872271079249199"/>
          <c:w val="0.40845195458287226"/>
          <c:h val="0.70001112653389408"/>
        </c:manualLayout>
      </c:layout>
      <c:pieChart>
        <c:varyColors val="1"/>
        <c:ser>
          <c:idx val="1"/>
          <c:order val="0"/>
          <c:spPr>
            <a:scene3d>
              <a:camera prst="orthographicFront"/>
              <a:lightRig rig="threePt" dir="t"/>
            </a:scene3d>
            <a:sp3d>
              <a:bevelT/>
            </a:sp3d>
          </c:spPr>
          <c:dPt>
            <c:idx val="0"/>
            <c:bubble3D val="0"/>
            <c:spPr>
              <a:solidFill>
                <a:srgbClr val="993300"/>
              </a:solidFill>
              <a:ln w="19050">
                <a:solidFill>
                  <a:srgbClr val="993300"/>
                </a:solidFill>
              </a:ln>
              <a:effectLst/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1-888B-45B9-B184-7486B6EF70BA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 w="19050">
                <a:solidFill>
                  <a:srgbClr val="FFFF00"/>
                </a:solidFill>
              </a:ln>
              <a:effectLst/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3-888B-45B9-B184-7486B6EF70BA}"/>
              </c:ext>
            </c:extLst>
          </c:dPt>
          <c:dPt>
            <c:idx val="2"/>
            <c:bubble3D val="0"/>
            <c:spPr>
              <a:solidFill>
                <a:srgbClr val="66FF33"/>
              </a:solidFill>
              <a:ln w="19050">
                <a:solidFill>
                  <a:srgbClr val="66FF33"/>
                </a:solidFill>
              </a:ln>
              <a:effectLst/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5-888B-45B9-B184-7486B6EF70BA}"/>
              </c:ext>
            </c:extLst>
          </c:dPt>
          <c:dPt>
            <c:idx val="3"/>
            <c:bubble3D val="0"/>
            <c:spPr>
              <a:solidFill>
                <a:schemeClr val="bg1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7-888B-45B9-B184-7486B6EF70BA}"/>
              </c:ext>
            </c:extLst>
          </c:dPt>
          <c:dPt>
            <c:idx val="4"/>
            <c:bubble3D val="0"/>
            <c:spPr>
              <a:solidFill>
                <a:srgbClr val="FF0000"/>
              </a:solidFill>
              <a:ln w="19050">
                <a:solidFill>
                  <a:srgbClr val="FF0000"/>
                </a:solidFill>
              </a:ln>
              <a:effectLst/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9-888B-45B9-B184-7486B6EF70BA}"/>
              </c:ext>
            </c:extLst>
          </c:dPt>
          <c:dPt>
            <c:idx val="5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B-888B-45B9-B184-7486B6EF70BA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888B-45B9-B184-7486B6EF70B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'2015 ByMo'!$A$30:$A$35</c:f>
              <c:strCache>
                <c:ptCount val="6"/>
                <c:pt idx="0">
                  <c:v>Monthly Maintenance</c:v>
                </c:pt>
                <c:pt idx="1">
                  <c:v>Annual Maintenance</c:v>
                </c:pt>
                <c:pt idx="2">
                  <c:v>Fence</c:v>
                </c:pt>
                <c:pt idx="3">
                  <c:v>Insurance</c:v>
                </c:pt>
                <c:pt idx="4">
                  <c:v>Utilities</c:v>
                </c:pt>
                <c:pt idx="5">
                  <c:v>PO Box, Bank Fees, other</c:v>
                </c:pt>
              </c:strCache>
            </c:strRef>
          </c:cat>
          <c:val>
            <c:numRef>
              <c:f>'2015 ByMo'!$D$30:$D$35</c:f>
              <c:numCache>
                <c:formatCode>"$"#,##0</c:formatCode>
                <c:ptCount val="6"/>
                <c:pt idx="0">
                  <c:v>194.74187499999994</c:v>
                </c:pt>
                <c:pt idx="1">
                  <c:v>1.40625</c:v>
                </c:pt>
                <c:pt idx="2">
                  <c:v>190.95656249999999</c:v>
                </c:pt>
                <c:pt idx="3">
                  <c:v>0</c:v>
                </c:pt>
                <c:pt idx="4">
                  <c:v>41.608437499999994</c:v>
                </c:pt>
                <c:pt idx="5">
                  <c:v>3.7665625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888B-45B9-B184-7486B6EF70BA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9747527916821419"/>
          <c:y val="0.17879785317196559"/>
          <c:w val="0.38843129436100182"/>
          <c:h val="0.70590324694817885"/>
        </c:manualLayout>
      </c:layout>
      <c:overlay val="0"/>
      <c:spPr>
        <a:noFill/>
        <a:ln>
          <a:solidFill>
            <a:sysClr val="windowText" lastClr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2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baseline="0">
                <a:solidFill>
                  <a:sysClr val="windowText" lastClr="000000"/>
                </a:solidFill>
              </a:rPr>
              <a:t>2016 HOA Expenses: Total = $595 Per Lot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113553579979447"/>
          <c:y val="0.20872271079249199"/>
          <c:w val="0.40845195458287226"/>
          <c:h val="0.70001112653389408"/>
        </c:manualLayout>
      </c:layout>
      <c:pieChart>
        <c:varyColors val="1"/>
        <c:ser>
          <c:idx val="1"/>
          <c:order val="0"/>
          <c:spPr>
            <a:scene3d>
              <a:camera prst="orthographicFront"/>
              <a:lightRig rig="threePt" dir="t"/>
            </a:scene3d>
            <a:sp3d>
              <a:bevelT/>
            </a:sp3d>
          </c:spPr>
          <c:dPt>
            <c:idx val="0"/>
            <c:bubble3D val="0"/>
            <c:spPr>
              <a:solidFill>
                <a:srgbClr val="993300"/>
              </a:solidFill>
              <a:ln w="19050">
                <a:solidFill>
                  <a:srgbClr val="993300"/>
                </a:solidFill>
              </a:ln>
              <a:effectLst/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1-93A5-41B1-A4D9-A46790CAEE87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 w="19050">
                <a:solidFill>
                  <a:srgbClr val="FFFF00"/>
                </a:solidFill>
              </a:ln>
              <a:effectLst/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3-93A5-41B1-A4D9-A46790CAEE87}"/>
              </c:ext>
            </c:extLst>
          </c:dPt>
          <c:dPt>
            <c:idx val="2"/>
            <c:bubble3D val="0"/>
            <c:spPr>
              <a:solidFill>
                <a:srgbClr val="66FF33"/>
              </a:solidFill>
              <a:ln w="19050">
                <a:solidFill>
                  <a:srgbClr val="66FF33"/>
                </a:solidFill>
              </a:ln>
              <a:effectLst/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5-93A5-41B1-A4D9-A46790CAEE87}"/>
              </c:ext>
            </c:extLst>
          </c:dPt>
          <c:dPt>
            <c:idx val="3"/>
            <c:bubble3D val="0"/>
            <c:spPr>
              <a:solidFill>
                <a:schemeClr val="bg1">
                  <a:lumMod val="65000"/>
                </a:schemeClr>
              </a:solidFill>
              <a:ln w="19050">
                <a:solidFill>
                  <a:schemeClr val="bg1">
                    <a:lumMod val="75000"/>
                  </a:schemeClr>
                </a:solidFill>
              </a:ln>
              <a:effectLst/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7-93A5-41B1-A4D9-A46790CAEE87}"/>
              </c:ext>
            </c:extLst>
          </c:dPt>
          <c:dPt>
            <c:idx val="4"/>
            <c:bubble3D val="0"/>
            <c:spPr>
              <a:solidFill>
                <a:srgbClr val="FF0000"/>
              </a:solidFill>
              <a:ln w="19050">
                <a:solidFill>
                  <a:srgbClr val="FF0000"/>
                </a:solidFill>
              </a:ln>
              <a:effectLst/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9-93A5-41B1-A4D9-A46790CAEE87}"/>
              </c:ext>
            </c:extLst>
          </c:dPt>
          <c:dPt>
            <c:idx val="5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B-93A5-41B1-A4D9-A46790CAEE87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93A5-41B1-A4D9-A46790CAEE8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'2016 ByMo'!$A$31:$A$36</c:f>
              <c:strCache>
                <c:ptCount val="6"/>
                <c:pt idx="0">
                  <c:v>Monthly Maintenance</c:v>
                </c:pt>
                <c:pt idx="1">
                  <c:v>Annual Maintenance</c:v>
                </c:pt>
                <c:pt idx="2">
                  <c:v>Fence</c:v>
                </c:pt>
                <c:pt idx="3">
                  <c:v>Insurance</c:v>
                </c:pt>
                <c:pt idx="4">
                  <c:v>Utilities</c:v>
                </c:pt>
                <c:pt idx="5">
                  <c:v>PO Box, Bank Fees, other</c:v>
                </c:pt>
              </c:strCache>
            </c:strRef>
          </c:cat>
          <c:val>
            <c:numRef>
              <c:f>'2016 ByMo'!$D$31:$D$36</c:f>
              <c:numCache>
                <c:formatCode>"$"#,##0</c:formatCode>
                <c:ptCount val="6"/>
                <c:pt idx="0">
                  <c:v>205.35406250000003</c:v>
                </c:pt>
                <c:pt idx="1">
                  <c:v>1.40625</c:v>
                </c:pt>
                <c:pt idx="2">
                  <c:v>336.07218749999998</c:v>
                </c:pt>
                <c:pt idx="3">
                  <c:v>21.589374999999993</c:v>
                </c:pt>
                <c:pt idx="4">
                  <c:v>23.249062500000001</c:v>
                </c:pt>
                <c:pt idx="5">
                  <c:v>7.6096874999999997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93A5-41B1-A4D9-A46790CAEE87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9747527916821419"/>
          <c:y val="0.17879785317196559"/>
          <c:w val="0.38843129436100182"/>
          <c:h val="0.70590324694817885"/>
        </c:manualLayout>
      </c:layout>
      <c:overlay val="0"/>
      <c:spPr>
        <a:noFill/>
        <a:ln>
          <a:solidFill>
            <a:sysClr val="windowText" lastClr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2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b="1" baseline="0">
                <a:solidFill>
                  <a:sysClr val="windowText" lastClr="000000"/>
                </a:solidFill>
              </a:rPr>
              <a:t>2018 - 2020 Expenses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1469492239396002E-2"/>
          <c:y val="0.15649789029535865"/>
          <c:w val="0.59689164185995025"/>
          <c:h val="0.7456191235589222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'2018 To 2020'!$J$50</c:f>
              <c:strCache>
                <c:ptCount val="1"/>
                <c:pt idx="0">
                  <c:v>Monthly Maintenance</c:v>
                </c:pt>
              </c:strCache>
            </c:strRef>
          </c:tx>
          <c:spPr>
            <a:solidFill>
              <a:srgbClr val="993300"/>
            </a:solidFill>
            <a:ln>
              <a:solidFill>
                <a:srgbClr val="993300"/>
              </a:solidFill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'2018 To 2020'!$K$49:$N$49</c15:sqref>
                  </c15:fullRef>
                </c:ext>
              </c:extLst>
              <c:f>'2018 To 2020'!$K$49:$N$49</c:f>
              <c:strCache>
                <c:ptCount val="4"/>
                <c:pt idx="0">
                  <c:v> 2018 Actual </c:v>
                </c:pt>
                <c:pt idx="1">
                  <c:v> 2019 Budget </c:v>
                </c:pt>
                <c:pt idx="2">
                  <c:v> 2019 Projected </c:v>
                </c:pt>
                <c:pt idx="3">
                  <c:v> 2020 Budget 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'2018 To 2020'!$K$50:$O$50</c15:sqref>
                  </c15:fullRef>
                </c:ext>
              </c:extLst>
              <c:f>'2018 To 2020'!$K$50:$N$50</c:f>
              <c:numCache>
                <c:formatCode>"$"#,##0</c:formatCode>
                <c:ptCount val="4"/>
                <c:pt idx="0">
                  <c:v>8002.46</c:v>
                </c:pt>
                <c:pt idx="1">
                  <c:v>10200</c:v>
                </c:pt>
                <c:pt idx="2">
                  <c:v>8142.25</c:v>
                </c:pt>
                <c:pt idx="3">
                  <c:v>6660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13-4A56-8B9E-0AB82179E160}"/>
            </c:ext>
          </c:extLst>
        </c:ser>
        <c:ser>
          <c:idx val="1"/>
          <c:order val="1"/>
          <c:tx>
            <c:strRef>
              <c:f>'2018 To 2020'!$J$51</c:f>
              <c:strCache>
                <c:ptCount val="1"/>
                <c:pt idx="0">
                  <c:v>Annual Maintenance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'2018 To 2020'!$K$49:$N$49</c15:sqref>
                  </c15:fullRef>
                </c:ext>
              </c:extLst>
              <c:f>'2018 To 2020'!$K$49:$N$49</c:f>
              <c:strCache>
                <c:ptCount val="4"/>
                <c:pt idx="0">
                  <c:v> 2018 Actual </c:v>
                </c:pt>
                <c:pt idx="1">
                  <c:v> 2019 Budget </c:v>
                </c:pt>
                <c:pt idx="2">
                  <c:v> 2019 Projected </c:v>
                </c:pt>
                <c:pt idx="3">
                  <c:v> 2020 Budget 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'2018 To 2020'!$K$51:$O$51</c15:sqref>
                  </c15:fullRef>
                </c:ext>
              </c:extLst>
              <c:f>'2018 To 2020'!$K$51:$N$51</c:f>
              <c:numCache>
                <c:formatCode>"$"#,##0</c:formatCode>
                <c:ptCount val="4"/>
                <c:pt idx="0">
                  <c:v>0</c:v>
                </c:pt>
                <c:pt idx="1">
                  <c:v>500</c:v>
                </c:pt>
                <c:pt idx="2">
                  <c:v>432.57000000000005</c:v>
                </c:pt>
                <c:pt idx="3">
                  <c:v>1480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013-4A56-8B9E-0AB82179E160}"/>
            </c:ext>
          </c:extLst>
        </c:ser>
        <c:ser>
          <c:idx val="5"/>
          <c:order val="2"/>
          <c:tx>
            <c:strRef>
              <c:f>'2018 To 2020'!$J$52</c:f>
              <c:strCache>
                <c:ptCount val="1"/>
                <c:pt idx="0">
                  <c:v>Periodic Maint. &amp; Repair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Lit>
              <c:ptCount val="4"/>
              <c:pt idx="0">
                <c:v> 2018 Actual </c:v>
              </c:pt>
              <c:pt idx="1">
                <c:v> 2019 Budget </c:v>
              </c:pt>
              <c:pt idx="2">
                <c:v> 2019 Projected </c:v>
              </c:pt>
              <c:pt idx="3">
                <c:v> 2020 Budget 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'2018 To 2020'!$K$52:$N$52</c15:sqref>
                  </c15:fullRef>
                </c:ext>
              </c:extLst>
              <c:f>'2018 To 2020'!$K$52:$N$52</c:f>
              <c:numCache>
                <c:formatCode>"$"#,##0</c:formatCode>
                <c:ptCount val="4"/>
                <c:pt idx="0">
                  <c:v>0</c:v>
                </c:pt>
                <c:pt idx="1">
                  <c:v>4750</c:v>
                </c:pt>
                <c:pt idx="2">
                  <c:v>8799.75</c:v>
                </c:pt>
                <c:pt idx="3">
                  <c:v>2580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013-4A56-8B9E-0AB82179E160}"/>
            </c:ext>
          </c:extLst>
        </c:ser>
        <c:ser>
          <c:idx val="3"/>
          <c:order val="3"/>
          <c:tx>
            <c:strRef>
              <c:f>'2018 To 2020'!$J$54</c:f>
              <c:strCache>
                <c:ptCount val="1"/>
                <c:pt idx="0">
                  <c:v> Water and Electricity 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'2018 To 2020'!$K$49:$N$49</c15:sqref>
                  </c15:fullRef>
                </c:ext>
              </c:extLst>
              <c:f>'2018 To 2020'!$K$49:$N$49</c:f>
              <c:strCache>
                <c:ptCount val="4"/>
                <c:pt idx="0">
                  <c:v> 2018 Actual </c:v>
                </c:pt>
                <c:pt idx="1">
                  <c:v> 2019 Budget </c:v>
                </c:pt>
                <c:pt idx="2">
                  <c:v> 2019 Projected </c:v>
                </c:pt>
                <c:pt idx="3">
                  <c:v> 2020 Budget 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'2018 To 2020'!$K$54:$O$54</c15:sqref>
                  </c15:fullRef>
                </c:ext>
              </c:extLst>
              <c:f>'2018 To 2020'!$K$54:$N$54</c:f>
              <c:numCache>
                <c:formatCode>"$"#,##0</c:formatCode>
                <c:ptCount val="4"/>
                <c:pt idx="0">
                  <c:v>1279.27</c:v>
                </c:pt>
                <c:pt idx="1">
                  <c:v>1350</c:v>
                </c:pt>
                <c:pt idx="2">
                  <c:v>740.70999999999992</c:v>
                </c:pt>
                <c:pt idx="3">
                  <c:v>1170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013-4A56-8B9E-0AB82179E160}"/>
            </c:ext>
          </c:extLst>
        </c:ser>
        <c:ser>
          <c:idx val="2"/>
          <c:order val="4"/>
          <c:tx>
            <c:strRef>
              <c:f>'2018 To 2020'!$J$53</c:f>
              <c:strCache>
                <c:ptCount val="1"/>
                <c:pt idx="0">
                  <c:v>Insurance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'2018 To 2020'!$K$49:$N$49</c15:sqref>
                  </c15:fullRef>
                </c:ext>
              </c:extLst>
              <c:f>'2018 To 2020'!$K$49:$N$49</c:f>
              <c:strCache>
                <c:ptCount val="4"/>
                <c:pt idx="0">
                  <c:v> 2018 Actual </c:v>
                </c:pt>
                <c:pt idx="1">
                  <c:v> 2019 Budget </c:v>
                </c:pt>
                <c:pt idx="2">
                  <c:v> 2019 Projected </c:v>
                </c:pt>
                <c:pt idx="3">
                  <c:v> 2020 Budget 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'2018 To 2020'!$K$53:$O$53</c15:sqref>
                  </c15:fullRef>
                </c:ext>
              </c:extLst>
              <c:f>'2018 To 2020'!$K$53:$N$53</c:f>
              <c:numCache>
                <c:formatCode>"$"#,##0</c:formatCode>
                <c:ptCount val="4"/>
                <c:pt idx="0">
                  <c:v>702</c:v>
                </c:pt>
                <c:pt idx="1">
                  <c:v>780</c:v>
                </c:pt>
                <c:pt idx="2">
                  <c:v>790.7</c:v>
                </c:pt>
                <c:pt idx="3">
                  <c:v>1050.0000000000002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013-4A56-8B9E-0AB82179E160}"/>
            </c:ext>
          </c:extLst>
        </c:ser>
        <c:ser>
          <c:idx val="4"/>
          <c:order val="5"/>
          <c:tx>
            <c:strRef>
              <c:f>'2018 To 2020'!$J$55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Lit>
              <c:ptCount val="4"/>
              <c:pt idx="0">
                <c:v> 2018 Actual </c:v>
              </c:pt>
              <c:pt idx="1">
                <c:v> 2019 Budget </c:v>
              </c:pt>
              <c:pt idx="2">
                <c:v> 2019 Projected </c:v>
              </c:pt>
              <c:pt idx="3">
                <c:v> 2020 Budget 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'2018 To 2020'!$K$55:$N$55</c15:sqref>
                  </c15:fullRef>
                </c:ext>
              </c:extLst>
              <c:f>'2018 To 2020'!$K$55:$N$55</c:f>
              <c:numCache>
                <c:formatCode>"$"#,##0</c:formatCode>
                <c:ptCount val="4"/>
                <c:pt idx="0">
                  <c:v>302.3</c:v>
                </c:pt>
                <c:pt idx="1">
                  <c:v>375</c:v>
                </c:pt>
                <c:pt idx="2">
                  <c:v>583.17999999999995</c:v>
                </c:pt>
                <c:pt idx="3">
                  <c:v>820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013-4A56-8B9E-0AB82179E1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05295248"/>
        <c:axId val="405295640"/>
      </c:barChart>
      <c:catAx>
        <c:axId val="4052952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5295640"/>
        <c:crosses val="autoZero"/>
        <c:auto val="1"/>
        <c:lblAlgn val="ctr"/>
        <c:lblOffset val="100"/>
        <c:noMultiLvlLbl val="0"/>
      </c:catAx>
      <c:valAx>
        <c:axId val="405295640"/>
        <c:scaling>
          <c:orientation val="minMax"/>
          <c:max val="2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52952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9860935208611796"/>
          <c:y val="0.31476273110144887"/>
          <c:w val="0.26310562450428504"/>
          <c:h val="0.41440357738856387"/>
        </c:manualLayout>
      </c:layout>
      <c:overlay val="0"/>
      <c:spPr>
        <a:noFill/>
        <a:ln>
          <a:solidFill>
            <a:sysClr val="windowText" lastClr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baseline="0"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baseline="0">
                <a:solidFill>
                  <a:sysClr val="windowText" lastClr="000000"/>
                </a:solidFill>
              </a:rPr>
              <a:t>2017 HOA Expenses: Total = $246 Per Lot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1"/>
          <c:order val="0"/>
          <c:dPt>
            <c:idx val="0"/>
            <c:bubble3D val="0"/>
            <c:spPr>
              <a:solidFill>
                <a:srgbClr val="993300"/>
              </a:solidFill>
              <a:ln w="19050">
                <a:solidFill>
                  <a:srgbClr val="993300"/>
                </a:solidFill>
              </a:ln>
              <a:effectLst/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1-EA15-431A-9B9D-7E35E905E188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 w="19050">
                <a:solidFill>
                  <a:srgbClr val="FFFF00"/>
                </a:solidFill>
              </a:ln>
              <a:effectLst/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3-EA15-431A-9B9D-7E35E905E188}"/>
              </c:ext>
            </c:extLst>
          </c:dPt>
          <c:dPt>
            <c:idx val="2"/>
            <c:bubble3D val="0"/>
            <c:spPr>
              <a:solidFill>
                <a:srgbClr val="FFC000"/>
              </a:solidFill>
              <a:ln w="19050">
                <a:solidFill>
                  <a:srgbClr val="FFC000"/>
                </a:solidFill>
              </a:ln>
              <a:effectLst/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5-EA15-431A-9B9D-7E35E905E188}"/>
              </c:ext>
            </c:extLst>
          </c:dPt>
          <c:dPt>
            <c:idx val="3"/>
            <c:bubble3D val="0"/>
            <c:spPr>
              <a:solidFill>
                <a:schemeClr val="bg1">
                  <a:lumMod val="65000"/>
                </a:schemeClr>
              </a:solidFill>
              <a:ln w="1905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7-EA15-431A-9B9D-7E35E905E188}"/>
              </c:ext>
            </c:extLst>
          </c:dPt>
          <c:dPt>
            <c:idx val="4"/>
            <c:bubble3D val="0"/>
            <c:spPr>
              <a:solidFill>
                <a:srgbClr val="FF0000"/>
              </a:solidFill>
              <a:ln w="19050">
                <a:solidFill>
                  <a:srgbClr val="FF0000"/>
                </a:solidFill>
              </a:ln>
              <a:effectLst/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9-EA15-431A-9B9D-7E35E905E188}"/>
              </c:ext>
            </c:extLst>
          </c:dPt>
          <c:dPt>
            <c:idx val="5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B-EA15-431A-9B9D-7E35E905E188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EA15-431A-9B9D-7E35E905E18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'2017 ByMo'!$A$31:$A$36</c:f>
              <c:strCache>
                <c:ptCount val="6"/>
                <c:pt idx="0">
                  <c:v>Monthly Maintenance</c:v>
                </c:pt>
                <c:pt idx="1">
                  <c:v>Annual Maintenance</c:v>
                </c:pt>
                <c:pt idx="2">
                  <c:v>Periodic Maintance</c:v>
                </c:pt>
                <c:pt idx="3">
                  <c:v>Insurance</c:v>
                </c:pt>
                <c:pt idx="4">
                  <c:v>Utilities</c:v>
                </c:pt>
                <c:pt idx="5">
                  <c:v>PO Box, Bank Fees, other</c:v>
                </c:pt>
              </c:strCache>
            </c:strRef>
          </c:cat>
          <c:val>
            <c:numRef>
              <c:f>'2017 ByMo'!$D$31:$D$36</c:f>
              <c:numCache>
                <c:formatCode>"$"#,##0</c:formatCode>
                <c:ptCount val="6"/>
                <c:pt idx="0">
                  <c:v>201.51406249999997</c:v>
                </c:pt>
                <c:pt idx="1">
                  <c:v>0</c:v>
                </c:pt>
                <c:pt idx="2">
                  <c:v>0</c:v>
                </c:pt>
                <c:pt idx="3">
                  <c:v>20.034374999999994</c:v>
                </c:pt>
                <c:pt idx="4">
                  <c:v>22.7890625</c:v>
                </c:pt>
                <c:pt idx="5">
                  <c:v>1.5375000000000001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EA15-431A-9B9D-7E35E905E188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9747527916821419"/>
          <c:y val="0.17879785317196559"/>
          <c:w val="0.38843129436100182"/>
          <c:h val="0.70590324694817885"/>
        </c:manualLayout>
      </c:layout>
      <c:overlay val="0"/>
      <c:spPr>
        <a:noFill/>
        <a:ln>
          <a:solidFill>
            <a:sysClr val="windowText" lastClr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2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baseline="0">
                <a:solidFill>
                  <a:sysClr val="windowText" lastClr="000000"/>
                </a:solidFill>
              </a:rPr>
              <a:t>2018 HOA Expenses: Total = $321 Per Lot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1"/>
          <c:order val="0"/>
          <c:dPt>
            <c:idx val="0"/>
            <c:bubble3D val="0"/>
            <c:spPr>
              <a:solidFill>
                <a:srgbClr val="993300"/>
              </a:solidFill>
              <a:ln w="1905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1-8E0F-4BAE-8C78-A0B5F5CC1285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 w="19050">
                <a:solidFill>
                  <a:srgbClr val="FFFF00"/>
                </a:solidFill>
              </a:ln>
              <a:effectLst/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3-8E0F-4BAE-8C78-A0B5F5CC1285}"/>
              </c:ext>
            </c:extLst>
          </c:dPt>
          <c:dPt>
            <c:idx val="2"/>
            <c:bubble3D val="0"/>
            <c:spPr>
              <a:solidFill>
                <a:srgbClr val="FFC000"/>
              </a:solidFill>
              <a:ln w="19050">
                <a:solidFill>
                  <a:srgbClr val="FFC000"/>
                </a:solidFill>
              </a:ln>
              <a:effectLst/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5-8E0F-4BAE-8C78-A0B5F5CC1285}"/>
              </c:ext>
            </c:extLst>
          </c:dPt>
          <c:dPt>
            <c:idx val="3"/>
            <c:bubble3D val="0"/>
            <c:spPr>
              <a:solidFill>
                <a:schemeClr val="bg1">
                  <a:lumMod val="65000"/>
                </a:schemeClr>
              </a:solidFill>
              <a:ln w="1905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7-8E0F-4BAE-8C78-A0B5F5CC1285}"/>
              </c:ext>
            </c:extLst>
          </c:dPt>
          <c:dPt>
            <c:idx val="4"/>
            <c:bubble3D val="0"/>
            <c:spPr>
              <a:solidFill>
                <a:srgbClr val="FF0000"/>
              </a:solidFill>
              <a:ln w="19050">
                <a:solidFill>
                  <a:srgbClr val="FF0000"/>
                </a:solidFill>
              </a:ln>
              <a:effectLst/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9-8E0F-4BAE-8C78-A0B5F5CC1285}"/>
              </c:ext>
            </c:extLst>
          </c:dPt>
          <c:dPt>
            <c:idx val="5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B-8E0F-4BAE-8C78-A0B5F5CC1285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8E0F-4BAE-8C78-A0B5F5CC128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'2018 ByMo'!$A$30:$A$35</c:f>
              <c:strCache>
                <c:ptCount val="6"/>
                <c:pt idx="0">
                  <c:v>Monthly Maintenance</c:v>
                </c:pt>
                <c:pt idx="1">
                  <c:v>Annual Maintenance</c:v>
                </c:pt>
                <c:pt idx="2">
                  <c:v>Periodic Maintenance &amp; Repair</c:v>
                </c:pt>
                <c:pt idx="3">
                  <c:v>Insurance</c:v>
                </c:pt>
                <c:pt idx="4">
                  <c:v>Utilities</c:v>
                </c:pt>
                <c:pt idx="5">
                  <c:v>PO Box, Bank Fees, other</c:v>
                </c:pt>
              </c:strCache>
            </c:strRef>
          </c:cat>
          <c:val>
            <c:numRef>
              <c:f>'2018 ByMo'!$D$30:$D$35</c:f>
              <c:numCache>
                <c:formatCode>"$"#,##0</c:formatCode>
                <c:ptCount val="6"/>
                <c:pt idx="0">
                  <c:v>250.076875</c:v>
                </c:pt>
                <c:pt idx="1">
                  <c:v>0</c:v>
                </c:pt>
                <c:pt idx="2">
                  <c:v>0</c:v>
                </c:pt>
                <c:pt idx="3">
                  <c:v>21.9375</c:v>
                </c:pt>
                <c:pt idx="4">
                  <c:v>39.977187499999999</c:v>
                </c:pt>
                <c:pt idx="5">
                  <c:v>9.4468750000000004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8E0F-4BAE-8C78-A0B5F5CC1285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9747527916821419"/>
          <c:y val="0.17879785317196559"/>
          <c:w val="0.38843129436100182"/>
          <c:h val="0.70590324694817885"/>
        </c:manualLayout>
      </c:layout>
      <c:overlay val="0"/>
      <c:spPr>
        <a:noFill/>
        <a:ln>
          <a:solidFill>
            <a:sysClr val="windowText" lastClr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2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baseline="0">
                <a:solidFill>
                  <a:sysClr val="windowText" lastClr="000000"/>
                </a:solidFill>
              </a:rPr>
              <a:t>2019 HOA Expenses: Total = $609 Per Lot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1"/>
          <c:order val="0"/>
          <c:spPr>
            <a:scene3d>
              <a:camera prst="orthographicFront"/>
              <a:lightRig rig="threePt" dir="t"/>
            </a:scene3d>
            <a:sp3d>
              <a:bevelT/>
            </a:sp3d>
          </c:spPr>
          <c:dPt>
            <c:idx val="0"/>
            <c:bubble3D val="0"/>
            <c:spPr>
              <a:solidFill>
                <a:srgbClr val="993300"/>
              </a:solidFill>
              <a:ln w="19050">
                <a:solidFill>
                  <a:srgbClr val="993300"/>
                </a:solidFill>
              </a:ln>
              <a:effectLst/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1-BE32-4D89-87A1-639081C56BBC}"/>
              </c:ext>
            </c:extLst>
          </c:dPt>
          <c:dPt>
            <c:idx val="1"/>
            <c:bubble3D val="0"/>
            <c:spPr>
              <a:solidFill>
                <a:srgbClr val="00B050"/>
              </a:solidFill>
              <a:ln w="19050">
                <a:solidFill>
                  <a:srgbClr val="FFFF00"/>
                </a:solidFill>
              </a:ln>
              <a:effectLst/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3-BE32-4D89-87A1-639081C56BBC}"/>
              </c:ext>
            </c:extLst>
          </c:dPt>
          <c:dPt>
            <c:idx val="2"/>
            <c:bubble3D val="0"/>
            <c:spPr>
              <a:solidFill>
                <a:srgbClr val="FFC000"/>
              </a:solidFill>
              <a:ln w="1905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5-BE32-4D89-87A1-639081C56BBC}"/>
              </c:ext>
            </c:extLst>
          </c:dPt>
          <c:dPt>
            <c:idx val="3"/>
            <c:bubble3D val="0"/>
            <c:spPr>
              <a:solidFill>
                <a:schemeClr val="bg1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7-BE32-4D89-87A1-639081C56BBC}"/>
              </c:ext>
            </c:extLst>
          </c:dPt>
          <c:dPt>
            <c:idx val="4"/>
            <c:bubble3D val="0"/>
            <c:spPr>
              <a:solidFill>
                <a:srgbClr val="FF0000"/>
              </a:solidFill>
              <a:ln w="1905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9-BE32-4D89-87A1-639081C56BBC}"/>
              </c:ext>
            </c:extLst>
          </c:dPt>
          <c:dPt>
            <c:idx val="5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B-BE32-4D89-87A1-639081C56BBC}"/>
              </c:ext>
            </c:extLst>
          </c:dPt>
          <c:dLbls>
            <c:dLbl>
              <c:idx val="0"/>
              <c:layout>
                <c:manualLayout>
                  <c:x val="-0.18300124548605282"/>
                  <c:y val="9.0545203828997448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409450586352208"/>
                      <c:h val="6.633539594048269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BE32-4D89-87A1-639081C56BB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'2019 ByMo'!$B$40:$B$45</c:f>
              <c:strCache>
                <c:ptCount val="6"/>
                <c:pt idx="0">
                  <c:v>Monthly Maintenance</c:v>
                </c:pt>
                <c:pt idx="1">
                  <c:v>Annual Maintenance</c:v>
                </c:pt>
                <c:pt idx="2">
                  <c:v>Periodic Maintenance &amp; Repair</c:v>
                </c:pt>
                <c:pt idx="3">
                  <c:v>Insurance</c:v>
                </c:pt>
                <c:pt idx="4">
                  <c:v>Utilities</c:v>
                </c:pt>
                <c:pt idx="5">
                  <c:v>PO Box, Bank Fees, other</c:v>
                </c:pt>
              </c:strCache>
            </c:strRef>
          </c:cat>
          <c:val>
            <c:numRef>
              <c:f>'2019 ByMo'!$E$40:$E$45</c:f>
              <c:numCache>
                <c:formatCode>"$"#,##0</c:formatCode>
                <c:ptCount val="6"/>
                <c:pt idx="0">
                  <c:v>254.4453125</c:v>
                </c:pt>
                <c:pt idx="1">
                  <c:v>13.517812500000002</c:v>
                </c:pt>
                <c:pt idx="2">
                  <c:v>274.9921875</c:v>
                </c:pt>
                <c:pt idx="3">
                  <c:v>24.709375000000001</c:v>
                </c:pt>
                <c:pt idx="4">
                  <c:v>23.147187499999998</c:v>
                </c:pt>
                <c:pt idx="5">
                  <c:v>18.224374999999998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BE32-4D89-87A1-639081C56BBC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egendEntry>
        <c:idx val="0"/>
        <c:txPr>
          <a:bodyPr rot="0" spcFirstLastPara="1" vertOverflow="ellipsis" vert="horz" wrap="square" anchor="ctr" anchorCtr="1"/>
          <a:lstStyle/>
          <a:p>
            <a:pPr rtl="0"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0.59747527916821419"/>
          <c:y val="0.17879785317196559"/>
          <c:w val="0.38843129436100182"/>
          <c:h val="0.70590324694817885"/>
        </c:manualLayout>
      </c:layout>
      <c:overlay val="0"/>
      <c:spPr>
        <a:noFill/>
        <a:ln>
          <a:solidFill>
            <a:sysClr val="windowText" lastClr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2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baseline="0">
                <a:solidFill>
                  <a:sysClr val="windowText" lastClr="000000"/>
                </a:solidFill>
              </a:rPr>
              <a:t>2020 Actual Expenses &amp; Reserve Contribution Per Lot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1"/>
          <c:order val="0"/>
          <c:spPr>
            <a:scene3d>
              <a:camera prst="orthographicFront"/>
              <a:lightRig rig="threePt" dir="t"/>
            </a:scene3d>
            <a:sp3d>
              <a:bevelT/>
            </a:sp3d>
          </c:spPr>
          <c:dPt>
            <c:idx val="0"/>
            <c:bubble3D val="0"/>
            <c:spPr>
              <a:solidFill>
                <a:srgbClr val="993300"/>
              </a:solidFill>
              <a:ln w="0">
                <a:solidFill>
                  <a:srgbClr val="993300"/>
                </a:solidFill>
              </a:ln>
              <a:effectLst/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1-7D29-428A-A704-2AFAA996DE52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 w="0">
                <a:solidFill>
                  <a:srgbClr val="FFFF00"/>
                </a:solidFill>
              </a:ln>
              <a:effectLst/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3-7D29-428A-A704-2AFAA996DE52}"/>
              </c:ext>
            </c:extLst>
          </c:dPt>
          <c:dPt>
            <c:idx val="2"/>
            <c:bubble3D val="0"/>
            <c:spPr>
              <a:solidFill>
                <a:srgbClr val="FFC000"/>
              </a:solidFill>
              <a:ln w="1905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5-7D29-428A-A704-2AFAA996DE52}"/>
              </c:ext>
            </c:extLst>
          </c:dPt>
          <c:dPt>
            <c:idx val="3"/>
            <c:bubble3D val="0"/>
            <c:spPr>
              <a:solidFill>
                <a:schemeClr val="bg1">
                  <a:lumMod val="65000"/>
                </a:schemeClr>
              </a:solidFill>
              <a:ln w="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7-7D29-428A-A704-2AFAA996DE52}"/>
              </c:ext>
            </c:extLst>
          </c:dPt>
          <c:dPt>
            <c:idx val="4"/>
            <c:bubble3D val="0"/>
            <c:spPr>
              <a:solidFill>
                <a:srgbClr val="FF0000"/>
              </a:solidFill>
              <a:ln w="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9-7D29-428A-A704-2AFAA996DE52}"/>
              </c:ext>
            </c:extLst>
          </c:dPt>
          <c:dPt>
            <c:idx val="5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 w="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B-7D29-428A-A704-2AFAA996DE52}"/>
              </c:ext>
            </c:extLst>
          </c:dPt>
          <c:dPt>
            <c:idx val="6"/>
            <c:bubble3D val="0"/>
            <c:spPr>
              <a:solidFill>
                <a:srgbClr val="33CC33"/>
              </a:solidFill>
              <a:ln w="1905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D-7D29-428A-A704-2AFAA996DE52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fld id="{AAD7C69E-8BD8-4A63-8F5F-33E65A128082}" type="VALUE">
                      <a:rPr lang="en-US">
                        <a:solidFill>
                          <a:schemeClr val="bg1"/>
                        </a:solidFill>
                      </a:rPr>
                      <a:pPr/>
                      <a:t>[VALUE]</a:t>
                    </a:fld>
                    <a:r>
                      <a:rPr lang="en-US" baseline="0">
                        <a:solidFill>
                          <a:schemeClr val="bg1"/>
                        </a:solidFill>
                      </a:rPr>
                      <a:t>, </a:t>
                    </a:r>
                    <a:fld id="{E523EC26-D7BD-4A8C-B3BB-873A847E8ACD}" type="PERCENTAGE">
                      <a:rPr lang="en-US" baseline="0">
                        <a:solidFill>
                          <a:schemeClr val="bg1"/>
                        </a:solidFill>
                      </a:rPr>
                      <a:pPr/>
                      <a:t>[PERCENTAGE]</a:t>
                    </a:fld>
                    <a:endParaRPr lang="en-US" baseline="0">
                      <a:solidFill>
                        <a:schemeClr val="bg1"/>
                      </a:solidFill>
                    </a:endParaRP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7D29-428A-A704-2AFAA996DE5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'2020 ByMo'!$A$33:$A$39</c:f>
              <c:strCache>
                <c:ptCount val="7"/>
                <c:pt idx="0">
                  <c:v>Monthly Maintenance</c:v>
                </c:pt>
                <c:pt idx="1">
                  <c:v>Annual Maintenance</c:v>
                </c:pt>
                <c:pt idx="2">
                  <c:v>Periodic Maintenance &amp; Repair</c:v>
                </c:pt>
                <c:pt idx="3">
                  <c:v>Insurance</c:v>
                </c:pt>
                <c:pt idx="4">
                  <c:v>Utilities</c:v>
                </c:pt>
                <c:pt idx="5">
                  <c:v>PO Box, Bank Fees, Other</c:v>
                </c:pt>
                <c:pt idx="6">
                  <c:v>Annual Reserve Contribution</c:v>
                </c:pt>
              </c:strCache>
            </c:strRef>
          </c:cat>
          <c:val>
            <c:numRef>
              <c:f>'2020 ByMo'!$E$33:$E$39</c:f>
              <c:numCache>
                <c:formatCode>"$"#,##0</c:formatCode>
                <c:ptCount val="7"/>
                <c:pt idx="0">
                  <c:v>206.25</c:v>
                </c:pt>
                <c:pt idx="1">
                  <c:v>22.695312499999996</c:v>
                </c:pt>
                <c:pt idx="2">
                  <c:v>89.0625</c:v>
                </c:pt>
                <c:pt idx="3">
                  <c:v>32.772812500000008</c:v>
                </c:pt>
                <c:pt idx="4">
                  <c:v>40.579687500000006</c:v>
                </c:pt>
                <c:pt idx="5">
                  <c:v>15.573124999999999</c:v>
                </c:pt>
                <c:pt idx="6">
                  <c:v>23.066562500000032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7D29-428A-A704-2AFAA996DE52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9747527916821419"/>
          <c:y val="0.17879785317196559"/>
          <c:w val="0.38843129436100182"/>
          <c:h val="0.70590324694817885"/>
        </c:manualLayout>
      </c:layout>
      <c:overlay val="0"/>
      <c:spPr>
        <a:noFill/>
        <a:ln>
          <a:solidFill>
            <a:sysClr val="windowText" lastClr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2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baseline="0">
                <a:solidFill>
                  <a:sysClr val="windowText" lastClr="000000"/>
                </a:solidFill>
              </a:rPr>
              <a:t>2020 Actual Expenses &amp; Reserve Contribution Per Lot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2173180261175477E-2"/>
          <c:y val="0.11521851116049917"/>
          <c:w val="0.41839489186268419"/>
          <c:h val="0.8506104556023617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'2020 ByMo'!$A$33</c:f>
              <c:strCache>
                <c:ptCount val="1"/>
                <c:pt idx="0">
                  <c:v>Monthly Maintenance</c:v>
                </c:pt>
              </c:strCache>
            </c:strRef>
          </c:tx>
          <c:spPr>
            <a:solidFill>
              <a:srgbClr val="993300"/>
            </a:solidFill>
            <a:ln w="19050">
              <a:solidFill>
                <a:schemeClr val="bg1"/>
              </a:solidFill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Pt>
            <c:idx val="0"/>
            <c:invertIfNegative val="0"/>
            <c:bubble3D val="0"/>
            <c:spPr>
              <a:solidFill>
                <a:srgbClr val="993300"/>
              </a:solidFill>
              <a:ln w="0">
                <a:solidFill>
                  <a:schemeClr val="bg1"/>
                </a:solidFill>
              </a:ln>
              <a:effectLst/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1-201B-41E8-9709-6D5C6D88B5E8}"/>
              </c:ext>
            </c:extLst>
          </c:dPt>
          <c:dPt>
            <c:idx val="1"/>
            <c:invertIfNegative val="0"/>
            <c:bubble3D val="0"/>
            <c:spPr>
              <a:solidFill>
                <a:srgbClr val="993300"/>
              </a:solidFill>
              <a:ln w="0">
                <a:solidFill>
                  <a:schemeClr val="bg1"/>
                </a:solidFill>
              </a:ln>
              <a:effectLst/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3-201B-41E8-9709-6D5C6D88B5E8}"/>
              </c:ext>
            </c:extLst>
          </c:dPt>
          <c:dPt>
            <c:idx val="2"/>
            <c:invertIfNegative val="0"/>
            <c:bubble3D val="0"/>
            <c:spPr>
              <a:solidFill>
                <a:srgbClr val="993300"/>
              </a:solidFill>
              <a:ln w="0">
                <a:solidFill>
                  <a:schemeClr val="bg1"/>
                </a:solidFill>
              </a:ln>
              <a:effectLst/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5-201B-41E8-9709-6D5C6D88B5E8}"/>
              </c:ext>
            </c:extLst>
          </c:dPt>
          <c:dPt>
            <c:idx val="3"/>
            <c:invertIfNegative val="0"/>
            <c:bubble3D val="0"/>
            <c:spPr>
              <a:solidFill>
                <a:srgbClr val="993300"/>
              </a:solidFill>
              <a:ln w="0">
                <a:solidFill>
                  <a:schemeClr val="bg1"/>
                </a:solidFill>
              </a:ln>
              <a:effectLst/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7-201B-41E8-9709-6D5C6D88B5E8}"/>
              </c:ext>
            </c:extLst>
          </c:dPt>
          <c:dPt>
            <c:idx val="4"/>
            <c:invertIfNegative val="0"/>
            <c:bubble3D val="0"/>
            <c:spPr>
              <a:solidFill>
                <a:srgbClr val="993300"/>
              </a:solidFill>
              <a:ln w="0">
                <a:solidFill>
                  <a:schemeClr val="bg1"/>
                </a:solidFill>
              </a:ln>
              <a:effectLst/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9-201B-41E8-9709-6D5C6D88B5E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'2020 ByMo'!$E$33</c:f>
              <c:numCache>
                <c:formatCode>"$"#,##0</c:formatCode>
                <c:ptCount val="1"/>
                <c:pt idx="0">
                  <c:v>206.25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201B-41E8-9709-6D5C6D88B5E8}"/>
            </c:ext>
          </c:extLst>
        </c:ser>
        <c:ser>
          <c:idx val="0"/>
          <c:order val="1"/>
          <c:tx>
            <c:strRef>
              <c:f>'2020 ByMo'!$A$34</c:f>
              <c:strCache>
                <c:ptCount val="1"/>
                <c:pt idx="0">
                  <c:v>Annual Maintenance</c:v>
                </c:pt>
              </c:strCache>
            </c:strRef>
          </c:tx>
          <c:spPr>
            <a:solidFill>
              <a:srgbClr val="FFFF00"/>
            </a:solidFill>
            <a:ln w="19050">
              <a:solidFill>
                <a:schemeClr val="lt1"/>
              </a:solidFill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'2020 ByMo'!$E$34</c:f>
              <c:numCache>
                <c:formatCode>"$"#,##0</c:formatCode>
                <c:ptCount val="1"/>
                <c:pt idx="0">
                  <c:v>22.695312499999996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201B-41E8-9709-6D5C6D88B5E8}"/>
            </c:ext>
          </c:extLst>
        </c:ser>
        <c:ser>
          <c:idx val="5"/>
          <c:order val="2"/>
          <c:tx>
            <c:strRef>
              <c:f>'2020 ByMo'!$A$35</c:f>
              <c:strCache>
                <c:ptCount val="1"/>
                <c:pt idx="0">
                  <c:v>Periodic Maintenance &amp; Repair</c:v>
                </c:pt>
              </c:strCache>
            </c:strRef>
          </c:tx>
          <c:spPr>
            <a:solidFill>
              <a:srgbClr val="FFC000"/>
            </a:solidFill>
            <a:ln w="19050">
              <a:solidFill>
                <a:schemeClr val="lt1"/>
              </a:solidFill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'2020 ByMo'!$E$35</c:f>
              <c:numCache>
                <c:formatCode>"$"#,##0</c:formatCode>
                <c:ptCount val="1"/>
                <c:pt idx="0">
                  <c:v>89.0625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201B-41E8-9709-6D5C6D88B5E8}"/>
            </c:ext>
          </c:extLst>
        </c:ser>
        <c:ser>
          <c:idx val="2"/>
          <c:order val="3"/>
          <c:tx>
            <c:strRef>
              <c:f>'2020 ByMo'!$A$36</c:f>
              <c:strCache>
                <c:ptCount val="1"/>
                <c:pt idx="0">
                  <c:v>Insurance</c:v>
                </c:pt>
              </c:strCache>
            </c:strRef>
          </c:tx>
          <c:spPr>
            <a:solidFill>
              <a:schemeClr val="accent3"/>
            </a:solidFill>
            <a:ln w="19050">
              <a:solidFill>
                <a:schemeClr val="lt1"/>
              </a:solidFill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'2020 ByMo'!$E$36</c:f>
              <c:numCache>
                <c:formatCode>"$"#,##0</c:formatCode>
                <c:ptCount val="1"/>
                <c:pt idx="0">
                  <c:v>32.772812500000008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201B-41E8-9709-6D5C6D88B5E8}"/>
            </c:ext>
          </c:extLst>
        </c:ser>
        <c:ser>
          <c:idx val="3"/>
          <c:order val="4"/>
          <c:tx>
            <c:strRef>
              <c:f>'2020 ByMo'!$A$37</c:f>
              <c:strCache>
                <c:ptCount val="1"/>
                <c:pt idx="0">
                  <c:v>Utilities</c:v>
                </c:pt>
              </c:strCache>
            </c:strRef>
          </c:tx>
          <c:spPr>
            <a:solidFill>
              <a:srgbClr val="FF0000"/>
            </a:solidFill>
            <a:ln w="19050">
              <a:solidFill>
                <a:schemeClr val="lt1"/>
              </a:solidFill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'2020 ByMo'!$E$37</c:f>
              <c:numCache>
                <c:formatCode>"$"#,##0</c:formatCode>
                <c:ptCount val="1"/>
                <c:pt idx="0">
                  <c:v>40.579687500000006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201B-41E8-9709-6D5C6D88B5E8}"/>
            </c:ext>
          </c:extLst>
        </c:ser>
        <c:ser>
          <c:idx val="4"/>
          <c:order val="5"/>
          <c:tx>
            <c:strRef>
              <c:f>'2020 ByMo'!$A$38</c:f>
              <c:strCache>
                <c:ptCount val="1"/>
                <c:pt idx="0">
                  <c:v>PO Box, Bank Fees, Other</c:v>
                </c:pt>
              </c:strCache>
            </c:strRef>
          </c:tx>
          <c:spPr>
            <a:solidFill>
              <a:schemeClr val="accent1"/>
            </a:solidFill>
            <a:ln w="0">
              <a:solidFill>
                <a:schemeClr val="bg1"/>
              </a:solidFill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 w="0">
                <a:solidFill>
                  <a:schemeClr val="bg1"/>
                </a:solidFill>
              </a:ln>
              <a:effectLst/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10-201B-41E8-9709-6D5C6D88B5E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'2020 ByMo'!$E$38</c:f>
              <c:numCache>
                <c:formatCode>"$"#,##0</c:formatCode>
                <c:ptCount val="1"/>
                <c:pt idx="0">
                  <c:v>15.573124999999999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201B-41E8-9709-6D5C6D88B5E8}"/>
            </c:ext>
          </c:extLst>
        </c:ser>
        <c:ser>
          <c:idx val="6"/>
          <c:order val="6"/>
          <c:tx>
            <c:strRef>
              <c:f>'2020 ByMo'!$A$39</c:f>
              <c:strCache>
                <c:ptCount val="1"/>
                <c:pt idx="0">
                  <c:v>Annual Reserve Contribution</c:v>
                </c:pt>
              </c:strCache>
            </c:strRef>
          </c:tx>
          <c:spPr>
            <a:solidFill>
              <a:srgbClr val="33CC33"/>
            </a:solidFill>
            <a:ln w="19050">
              <a:solidFill>
                <a:schemeClr val="lt1"/>
              </a:solidFill>
            </a:ln>
            <a:effectLst/>
            <a:scene3d>
              <a:camera prst="orthographicFront"/>
              <a:lightRig rig="threePt" dir="t"/>
            </a:scene3d>
            <a:sp3d>
              <a:bevelT/>
              <a:bevelB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'2020 ByMo'!$E$39</c:f>
              <c:numCache>
                <c:formatCode>"$"#,##0</c:formatCode>
                <c:ptCount val="1"/>
                <c:pt idx="0">
                  <c:v>23.066562500000032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201B-41E8-9709-6D5C6D88B5E8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100"/>
        <c:axId val="404290240"/>
        <c:axId val="404287888"/>
      </c:barChart>
      <c:catAx>
        <c:axId val="404290240"/>
        <c:scaling>
          <c:orientation val="minMax"/>
        </c:scaling>
        <c:delete val="1"/>
        <c:axPos val="b"/>
        <c:majorTickMark val="out"/>
        <c:minorTickMark val="none"/>
        <c:tickLblPos val="nextTo"/>
        <c:crossAx val="404287888"/>
        <c:crosses val="autoZero"/>
        <c:auto val="1"/>
        <c:lblAlgn val="ctr"/>
        <c:lblOffset val="100"/>
        <c:noMultiLvlLbl val="0"/>
      </c:catAx>
      <c:valAx>
        <c:axId val="404287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4290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47156963447409256"/>
          <c:y val="0.17081340972751194"/>
          <c:w val="0.49508648199656208"/>
          <c:h val="0.73257625767167078"/>
        </c:manualLayout>
      </c:layout>
      <c:overlay val="0"/>
      <c:spPr>
        <a:noFill/>
        <a:ln>
          <a:solidFill>
            <a:sysClr val="windowText" lastClr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2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baseline="0">
                <a:solidFill>
                  <a:sysClr val="windowText" lastClr="000000"/>
                </a:solidFill>
              </a:rPr>
              <a:t>2021 Expenses, Surplus &amp; Reserve Contribution of $430/Lot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1"/>
          <c:order val="0"/>
          <c:spPr>
            <a:scene3d>
              <a:camera prst="orthographicFront"/>
              <a:lightRig rig="threePt" dir="t"/>
            </a:scene3d>
            <a:sp3d>
              <a:bevelT/>
            </a:sp3d>
          </c:spPr>
          <c:dPt>
            <c:idx val="0"/>
            <c:bubble3D val="0"/>
            <c:spPr>
              <a:solidFill>
                <a:srgbClr val="993300"/>
              </a:solidFill>
              <a:ln w="0">
                <a:solidFill>
                  <a:srgbClr val="993300"/>
                </a:solidFill>
              </a:ln>
              <a:effectLst/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1-2D7F-4C75-972C-BFBB3C797383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 w="0">
                <a:solidFill>
                  <a:srgbClr val="FFFF00"/>
                </a:solidFill>
              </a:ln>
              <a:effectLst/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3-2D7F-4C75-972C-BFBB3C797383}"/>
              </c:ext>
            </c:extLst>
          </c:dPt>
          <c:dPt>
            <c:idx val="2"/>
            <c:bubble3D val="0"/>
            <c:spPr>
              <a:solidFill>
                <a:srgbClr val="FFC000"/>
              </a:solidFill>
              <a:ln w="1905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5-2D7F-4C75-972C-BFBB3C797383}"/>
              </c:ext>
            </c:extLst>
          </c:dPt>
          <c:dPt>
            <c:idx val="3"/>
            <c:bubble3D val="0"/>
            <c:spPr>
              <a:solidFill>
                <a:srgbClr val="FF0000"/>
              </a:solidFill>
              <a:ln w="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7-2D7F-4C75-972C-BFBB3C797383}"/>
              </c:ext>
            </c:extLst>
          </c:dPt>
          <c:dPt>
            <c:idx val="4"/>
            <c:bubble3D val="0"/>
            <c:spPr>
              <a:solidFill>
                <a:srgbClr val="0070C0"/>
              </a:solidFill>
              <a:ln w="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9-2D7F-4C75-972C-BFBB3C797383}"/>
              </c:ext>
            </c:extLst>
          </c:dPt>
          <c:dPt>
            <c:idx val="5"/>
            <c:bubble3D val="0"/>
            <c:spPr>
              <a:solidFill>
                <a:schemeClr val="bg2">
                  <a:lumMod val="75000"/>
                </a:schemeClr>
              </a:solidFill>
              <a:ln w="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B-2D7F-4C75-972C-BFBB3C797383}"/>
              </c:ext>
            </c:extLst>
          </c:dPt>
          <c:dPt>
            <c:idx val="6"/>
            <c:bubble3D val="0"/>
            <c:spPr>
              <a:solidFill>
                <a:srgbClr val="33CC33"/>
              </a:solidFill>
              <a:ln w="1905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D-2D7F-4C75-972C-BFBB3C797383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fld id="{AAD7C69E-8BD8-4A63-8F5F-33E65A128082}" type="VALUE">
                      <a:rPr lang="en-US">
                        <a:solidFill>
                          <a:schemeClr val="bg1"/>
                        </a:solidFill>
                      </a:rPr>
                      <a:pPr/>
                      <a:t>[VALUE]</a:t>
                    </a:fld>
                    <a:r>
                      <a:rPr lang="en-US" baseline="0">
                        <a:solidFill>
                          <a:schemeClr val="bg1"/>
                        </a:solidFill>
                      </a:rPr>
                      <a:t>, </a:t>
                    </a:r>
                    <a:fld id="{E523EC26-D7BD-4A8C-B3BB-873A847E8ACD}" type="PERCENTAGE">
                      <a:rPr lang="en-US" baseline="0">
                        <a:solidFill>
                          <a:schemeClr val="bg1"/>
                        </a:solidFill>
                      </a:rPr>
                      <a:pPr/>
                      <a:t>[PERCENTAGE]</a:t>
                    </a:fld>
                    <a:endParaRPr lang="en-US" baseline="0">
                      <a:solidFill>
                        <a:schemeClr val="bg1"/>
                      </a:solidFill>
                    </a:endParaRP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2D7F-4C75-972C-BFBB3C79738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'2021 ByMo'!$A$33:$A$39</c:f>
              <c:strCache>
                <c:ptCount val="7"/>
                <c:pt idx="0">
                  <c:v>Monthly Maintenance</c:v>
                </c:pt>
                <c:pt idx="1">
                  <c:v>Annual Maintenance</c:v>
                </c:pt>
                <c:pt idx="2">
                  <c:v>Periodic Maintenance &amp; Repair</c:v>
                </c:pt>
                <c:pt idx="3">
                  <c:v>Insurance</c:v>
                </c:pt>
                <c:pt idx="4">
                  <c:v>Water</c:v>
                </c:pt>
                <c:pt idx="5">
                  <c:v>Website, PO Box, Bank Fees, Other</c:v>
                </c:pt>
                <c:pt idx="6">
                  <c:v>Surplus &amp; Annual Reserve Contribution</c:v>
                </c:pt>
              </c:strCache>
            </c:strRef>
          </c:cat>
          <c:val>
            <c:numRef>
              <c:f>'2021 ByMo'!$E$33:$E$39</c:f>
              <c:numCache>
                <c:formatCode>"$"#,##0</c:formatCode>
                <c:ptCount val="7"/>
                <c:pt idx="0">
                  <c:v>189.0625</c:v>
                </c:pt>
                <c:pt idx="1">
                  <c:v>0</c:v>
                </c:pt>
                <c:pt idx="2">
                  <c:v>18.548124999999999</c:v>
                </c:pt>
                <c:pt idx="3">
                  <c:v>32.280000000000008</c:v>
                </c:pt>
                <c:pt idx="4">
                  <c:v>33.668437499999996</c:v>
                </c:pt>
                <c:pt idx="5">
                  <c:v>1.5</c:v>
                </c:pt>
                <c:pt idx="6">
                  <c:v>154.94093750000002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2D7F-4C75-972C-BFBB3C797383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9747527916821419"/>
          <c:y val="0.17879785317196559"/>
          <c:w val="0.38843129436100182"/>
          <c:h val="0.70590324694817885"/>
        </c:manualLayout>
      </c:layout>
      <c:overlay val="0"/>
      <c:spPr>
        <a:noFill/>
        <a:ln>
          <a:solidFill>
            <a:sysClr val="windowText" lastClr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2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baseline="0">
                <a:solidFill>
                  <a:sysClr val="windowText" lastClr="000000"/>
                </a:solidFill>
              </a:rPr>
              <a:t>2021 Expenses, Surplus &amp; Reserve Contribution of $430/Lot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2173180261175477E-2"/>
          <c:y val="0.11521851116049917"/>
          <c:w val="0.41839489186268419"/>
          <c:h val="0.8506104556023617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'2021 ByMo'!$A$33</c:f>
              <c:strCache>
                <c:ptCount val="1"/>
                <c:pt idx="0">
                  <c:v>Monthly Maintenance</c:v>
                </c:pt>
              </c:strCache>
            </c:strRef>
          </c:tx>
          <c:spPr>
            <a:solidFill>
              <a:srgbClr val="993300"/>
            </a:solidFill>
            <a:ln w="19050">
              <a:solidFill>
                <a:schemeClr val="bg1"/>
              </a:solidFill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Pt>
            <c:idx val="0"/>
            <c:invertIfNegative val="0"/>
            <c:bubble3D val="0"/>
            <c:spPr>
              <a:solidFill>
                <a:srgbClr val="993300"/>
              </a:solidFill>
              <a:ln w="0">
                <a:solidFill>
                  <a:schemeClr val="bg1"/>
                </a:solidFill>
              </a:ln>
              <a:effectLst/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1-8C3E-45E8-85DC-2FD1D50E7B1A}"/>
              </c:ext>
            </c:extLst>
          </c:dPt>
          <c:dPt>
            <c:idx val="1"/>
            <c:invertIfNegative val="0"/>
            <c:bubble3D val="0"/>
            <c:spPr>
              <a:solidFill>
                <a:srgbClr val="993300"/>
              </a:solidFill>
              <a:ln w="0">
                <a:solidFill>
                  <a:schemeClr val="bg1"/>
                </a:solidFill>
              </a:ln>
              <a:effectLst/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3-8C3E-45E8-85DC-2FD1D50E7B1A}"/>
              </c:ext>
            </c:extLst>
          </c:dPt>
          <c:dPt>
            <c:idx val="2"/>
            <c:invertIfNegative val="0"/>
            <c:bubble3D val="0"/>
            <c:spPr>
              <a:solidFill>
                <a:srgbClr val="993300"/>
              </a:solidFill>
              <a:ln w="0">
                <a:solidFill>
                  <a:schemeClr val="bg1"/>
                </a:solidFill>
              </a:ln>
              <a:effectLst/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5-8C3E-45E8-85DC-2FD1D50E7B1A}"/>
              </c:ext>
            </c:extLst>
          </c:dPt>
          <c:dPt>
            <c:idx val="3"/>
            <c:invertIfNegative val="0"/>
            <c:bubble3D val="0"/>
            <c:spPr>
              <a:solidFill>
                <a:srgbClr val="993300"/>
              </a:solidFill>
              <a:ln w="0">
                <a:solidFill>
                  <a:schemeClr val="bg1"/>
                </a:solidFill>
              </a:ln>
              <a:effectLst/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7-8C3E-45E8-85DC-2FD1D50E7B1A}"/>
              </c:ext>
            </c:extLst>
          </c:dPt>
          <c:dPt>
            <c:idx val="4"/>
            <c:invertIfNegative val="0"/>
            <c:bubble3D val="0"/>
            <c:spPr>
              <a:solidFill>
                <a:srgbClr val="993300"/>
              </a:solidFill>
              <a:ln w="0">
                <a:solidFill>
                  <a:schemeClr val="bg1"/>
                </a:solidFill>
              </a:ln>
              <a:effectLst/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9-8C3E-45E8-85DC-2FD1D50E7B1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'2021 ByMo'!$E$33</c:f>
              <c:numCache>
                <c:formatCode>"$"#,##0</c:formatCode>
                <c:ptCount val="1"/>
                <c:pt idx="0">
                  <c:v>189.0625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8C3E-45E8-85DC-2FD1D50E7B1A}"/>
            </c:ext>
          </c:extLst>
        </c:ser>
        <c:ser>
          <c:idx val="0"/>
          <c:order val="1"/>
          <c:tx>
            <c:strRef>
              <c:f>'2021 ByMo'!$A$34</c:f>
              <c:strCache>
                <c:ptCount val="1"/>
                <c:pt idx="0">
                  <c:v>Annual Maintenance</c:v>
                </c:pt>
              </c:strCache>
            </c:strRef>
          </c:tx>
          <c:spPr>
            <a:solidFill>
              <a:srgbClr val="FFFF00"/>
            </a:solidFill>
            <a:ln w="19050">
              <a:solidFill>
                <a:schemeClr val="lt1"/>
              </a:solidFill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'2021 ByMo'!$E$34</c:f>
              <c:numCache>
                <c:formatCode>"$"#,##0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8C3E-45E8-85DC-2FD1D50E7B1A}"/>
            </c:ext>
          </c:extLst>
        </c:ser>
        <c:ser>
          <c:idx val="5"/>
          <c:order val="2"/>
          <c:tx>
            <c:strRef>
              <c:f>'2021 ByMo'!$A$35</c:f>
              <c:strCache>
                <c:ptCount val="1"/>
                <c:pt idx="0">
                  <c:v>Periodic Maintenance &amp; Repair</c:v>
                </c:pt>
              </c:strCache>
            </c:strRef>
          </c:tx>
          <c:spPr>
            <a:solidFill>
              <a:srgbClr val="FFC000"/>
            </a:solidFill>
            <a:ln w="19050">
              <a:solidFill>
                <a:schemeClr val="lt1"/>
              </a:solidFill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'2021 ByMo'!$E$35</c:f>
              <c:numCache>
                <c:formatCode>"$"#,##0</c:formatCode>
                <c:ptCount val="1"/>
                <c:pt idx="0">
                  <c:v>18.548124999999999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8C3E-45E8-85DC-2FD1D50E7B1A}"/>
            </c:ext>
          </c:extLst>
        </c:ser>
        <c:ser>
          <c:idx val="2"/>
          <c:order val="3"/>
          <c:tx>
            <c:strRef>
              <c:f>'2021 ByMo'!$A$36</c:f>
              <c:strCache>
                <c:ptCount val="1"/>
                <c:pt idx="0">
                  <c:v>Insurance</c:v>
                </c:pt>
              </c:strCache>
            </c:strRef>
          </c:tx>
          <c:spPr>
            <a:solidFill>
              <a:srgbClr val="FF0000"/>
            </a:solidFill>
            <a:ln w="19050">
              <a:solidFill>
                <a:schemeClr val="lt1"/>
              </a:solidFill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'2021 ByMo'!$E$36</c:f>
              <c:numCache>
                <c:formatCode>"$"#,##0</c:formatCode>
                <c:ptCount val="1"/>
                <c:pt idx="0">
                  <c:v>32.280000000000008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8C3E-45E8-85DC-2FD1D50E7B1A}"/>
            </c:ext>
          </c:extLst>
        </c:ser>
        <c:ser>
          <c:idx val="3"/>
          <c:order val="4"/>
          <c:tx>
            <c:strRef>
              <c:f>'2021 ByMo'!$A$37</c:f>
              <c:strCache>
                <c:ptCount val="1"/>
                <c:pt idx="0">
                  <c:v>Water</c:v>
                </c:pt>
              </c:strCache>
            </c:strRef>
          </c:tx>
          <c:spPr>
            <a:solidFill>
              <a:schemeClr val="accent5"/>
            </a:solidFill>
            <a:ln w="19050">
              <a:solidFill>
                <a:schemeClr val="lt1"/>
              </a:solidFill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'2021 ByMo'!$E$37</c:f>
              <c:numCache>
                <c:formatCode>"$"#,##0</c:formatCode>
                <c:ptCount val="1"/>
                <c:pt idx="0">
                  <c:v>33.668437499999996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8C3E-45E8-85DC-2FD1D50E7B1A}"/>
            </c:ext>
          </c:extLst>
        </c:ser>
        <c:ser>
          <c:idx val="4"/>
          <c:order val="5"/>
          <c:tx>
            <c:strRef>
              <c:f>'2021 ByMo'!$A$38</c:f>
              <c:strCache>
                <c:ptCount val="1"/>
                <c:pt idx="0">
                  <c:v>Website, PO Box, Bank Fees, Other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 w="0">
              <a:solidFill>
                <a:schemeClr val="bg1"/>
              </a:solidFill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0-8C3E-45E8-85DC-2FD1D50E7B1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'2021 ByMo'!$E$38</c:f>
              <c:numCache>
                <c:formatCode>"$"#,##0</c:formatCode>
                <c:ptCount val="1"/>
                <c:pt idx="0">
                  <c:v>1.5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8C3E-45E8-85DC-2FD1D50E7B1A}"/>
            </c:ext>
          </c:extLst>
        </c:ser>
        <c:ser>
          <c:idx val="6"/>
          <c:order val="6"/>
          <c:tx>
            <c:strRef>
              <c:f>'2021 ByMo'!$A$39</c:f>
              <c:strCache>
                <c:ptCount val="1"/>
                <c:pt idx="0">
                  <c:v>Surplus &amp; Annual Reserve Contribution</c:v>
                </c:pt>
              </c:strCache>
            </c:strRef>
          </c:tx>
          <c:spPr>
            <a:solidFill>
              <a:srgbClr val="33CC33"/>
            </a:solidFill>
            <a:ln w="19050">
              <a:solidFill>
                <a:schemeClr val="lt1"/>
              </a:solidFill>
            </a:ln>
            <a:effectLst/>
            <a:scene3d>
              <a:camera prst="orthographicFront"/>
              <a:lightRig rig="threePt" dir="t"/>
            </a:scene3d>
            <a:sp3d>
              <a:bevelT/>
              <a:bevelB prst="angle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'2021 ByMo'!$E$39</c:f>
              <c:numCache>
                <c:formatCode>"$"#,##0</c:formatCode>
                <c:ptCount val="1"/>
                <c:pt idx="0">
                  <c:v>154.94093750000002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8C3E-45E8-85DC-2FD1D50E7B1A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100"/>
        <c:axId val="404291416"/>
        <c:axId val="410317224"/>
      </c:barChart>
      <c:catAx>
        <c:axId val="404291416"/>
        <c:scaling>
          <c:orientation val="minMax"/>
        </c:scaling>
        <c:delete val="1"/>
        <c:axPos val="b"/>
        <c:majorTickMark val="out"/>
        <c:minorTickMark val="none"/>
        <c:tickLblPos val="nextTo"/>
        <c:crossAx val="410317224"/>
        <c:crosses val="autoZero"/>
        <c:auto val="1"/>
        <c:lblAlgn val="ctr"/>
        <c:lblOffset val="100"/>
        <c:noMultiLvlLbl val="0"/>
      </c:catAx>
      <c:valAx>
        <c:axId val="4103172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42914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48549764792043792"/>
          <c:y val="0.22408029639295365"/>
          <c:w val="0.44216003090044942"/>
          <c:h val="0.77591978898958469"/>
        </c:manualLayout>
      </c:layout>
      <c:overlay val="0"/>
      <c:spPr>
        <a:noFill/>
        <a:ln>
          <a:solidFill>
            <a:sysClr val="windowText" lastClr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2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baseline="0">
                <a:solidFill>
                  <a:sysClr val="windowText" lastClr="000000"/>
                </a:solidFill>
              </a:rPr>
              <a:t>2022 Projected Expenses &amp; Reserve Contrib. or (Use) Per Lot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1"/>
          <c:order val="0"/>
          <c:spPr>
            <a:scene3d>
              <a:camera prst="orthographicFront"/>
              <a:lightRig rig="threePt" dir="t"/>
            </a:scene3d>
            <a:sp3d>
              <a:bevelT/>
            </a:sp3d>
          </c:spPr>
          <c:dPt>
            <c:idx val="0"/>
            <c:bubble3D val="0"/>
            <c:spPr>
              <a:solidFill>
                <a:srgbClr val="993300"/>
              </a:solidFill>
              <a:ln w="0">
                <a:solidFill>
                  <a:srgbClr val="993300"/>
                </a:solidFill>
              </a:ln>
              <a:effectLst/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1-345F-4421-8A14-54676757A562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 w="0">
                <a:solidFill>
                  <a:srgbClr val="FFFF00"/>
                </a:solidFill>
              </a:ln>
              <a:effectLst/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3-345F-4421-8A14-54676757A562}"/>
              </c:ext>
            </c:extLst>
          </c:dPt>
          <c:dPt>
            <c:idx val="2"/>
            <c:bubble3D val="0"/>
            <c:spPr>
              <a:solidFill>
                <a:srgbClr val="FFC000"/>
              </a:solidFill>
              <a:ln w="1905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5-345F-4421-8A14-54676757A562}"/>
              </c:ext>
            </c:extLst>
          </c:dPt>
          <c:dPt>
            <c:idx val="3"/>
            <c:bubble3D val="0"/>
            <c:spPr>
              <a:solidFill>
                <a:srgbClr val="FF0000"/>
              </a:solidFill>
              <a:ln w="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7-345F-4421-8A14-54676757A562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9-345F-4421-8A14-54676757A562}"/>
              </c:ext>
            </c:extLst>
          </c:dPt>
          <c:dPt>
            <c:idx val="5"/>
            <c:bubble3D val="0"/>
            <c:spPr>
              <a:solidFill>
                <a:schemeClr val="bg1">
                  <a:lumMod val="65000"/>
                </a:schemeClr>
              </a:solidFill>
              <a:ln w="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B-345F-4421-8A14-54676757A562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D-345F-4421-8A14-54676757A562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fld id="{AAD7C69E-8BD8-4A63-8F5F-33E65A128082}" type="VALUE">
                      <a:rPr lang="en-US">
                        <a:solidFill>
                          <a:schemeClr val="bg1"/>
                        </a:solidFill>
                      </a:rPr>
                      <a:pPr/>
                      <a:t>[VALUE]</a:t>
                    </a:fld>
                    <a:r>
                      <a:rPr lang="en-US" baseline="0">
                        <a:solidFill>
                          <a:schemeClr val="bg1"/>
                        </a:solidFill>
                      </a:rPr>
                      <a:t>, </a:t>
                    </a:r>
                    <a:fld id="{E523EC26-D7BD-4A8C-B3BB-873A847E8ACD}" type="PERCENTAGE">
                      <a:rPr lang="en-US" baseline="0">
                        <a:solidFill>
                          <a:schemeClr val="bg1"/>
                        </a:solidFill>
                      </a:rPr>
                      <a:pPr/>
                      <a:t>[PERCENTAGE]</a:t>
                    </a:fld>
                    <a:endParaRPr lang="en-US" baseline="0">
                      <a:solidFill>
                        <a:schemeClr val="bg1"/>
                      </a:solidFill>
                    </a:endParaRP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345F-4421-8A14-54676757A56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'2022 ByMo'!$A$33:$A$39</c:f>
              <c:strCache>
                <c:ptCount val="7"/>
                <c:pt idx="0">
                  <c:v>Monthly Maintenance</c:v>
                </c:pt>
                <c:pt idx="1">
                  <c:v>Annual Maintenance</c:v>
                </c:pt>
                <c:pt idx="2">
                  <c:v>Periodic Maintenance &amp; Repair</c:v>
                </c:pt>
                <c:pt idx="3">
                  <c:v>Insurance</c:v>
                </c:pt>
                <c:pt idx="4">
                  <c:v>Water</c:v>
                </c:pt>
                <c:pt idx="5">
                  <c:v>Website, PO Box, Bank Fees, Other</c:v>
                </c:pt>
                <c:pt idx="6">
                  <c:v>Total Expenses</c:v>
                </c:pt>
              </c:strCache>
            </c:strRef>
          </c:cat>
          <c:val>
            <c:numRef>
              <c:f>'2022 ByMo'!$E$33:$E$39</c:f>
              <c:numCache>
                <c:formatCode>"$"#,##0</c:formatCode>
                <c:ptCount val="7"/>
                <c:pt idx="0">
                  <c:v>223.4375</c:v>
                </c:pt>
                <c:pt idx="1">
                  <c:v>8.9340624999999996</c:v>
                </c:pt>
                <c:pt idx="2">
                  <c:v>21.875</c:v>
                </c:pt>
                <c:pt idx="3">
                  <c:v>32.280000000000008</c:v>
                </c:pt>
                <c:pt idx="4">
                  <c:v>54.591875000000002</c:v>
                </c:pt>
                <c:pt idx="5">
                  <c:v>38.849687500000002</c:v>
                </c:pt>
                <c:pt idx="6">
                  <c:v>379.96812500000004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345F-4421-8A14-54676757A562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9747527916821419"/>
          <c:y val="0.17879785317196559"/>
          <c:w val="0.38843129436100182"/>
          <c:h val="0.70590324694817885"/>
        </c:manualLayout>
      </c:layout>
      <c:overlay val="0"/>
      <c:spPr>
        <a:noFill/>
        <a:ln w="12700">
          <a:solidFill>
            <a:sysClr val="windowText" lastClr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2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19050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baseline="0">
                <a:solidFill>
                  <a:sysClr val="windowText" lastClr="000000"/>
                </a:solidFill>
              </a:rPr>
              <a:t>2022 Projected Expenses = </a:t>
            </a:r>
            <a:r>
              <a:rPr lang="en-US" b="1" baseline="0">
                <a:solidFill>
                  <a:sysClr val="windowText" lastClr="000000"/>
                </a:solidFill>
              </a:rPr>
              <a:t>$380/Lot</a:t>
            </a:r>
            <a:r>
              <a:rPr lang="en-US" baseline="0">
                <a:solidFill>
                  <a:sysClr val="windowText" lastClr="000000"/>
                </a:solidFill>
              </a:rPr>
              <a:t>:</a:t>
            </a:r>
          </a:p>
          <a:p>
            <a:pPr>
              <a:defRPr>
                <a:solidFill>
                  <a:sysClr val="windowText" lastClr="000000"/>
                </a:solidFill>
              </a:defRPr>
            </a:pPr>
            <a:r>
              <a:rPr lang="en-US" baseline="0">
                <a:solidFill>
                  <a:sysClr val="windowText" lastClr="000000"/>
                </a:solidFill>
              </a:rPr>
              <a:t>$430 From Dues Less $50 To Reserve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2173180261175477E-2"/>
          <c:y val="0.11521851116049917"/>
          <c:w val="0.41839489186268419"/>
          <c:h val="0.8506104556023617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'2022 ByMo'!$A$33</c:f>
              <c:strCache>
                <c:ptCount val="1"/>
                <c:pt idx="0">
                  <c:v>Monthly Maintenance</c:v>
                </c:pt>
              </c:strCache>
            </c:strRef>
          </c:tx>
          <c:spPr>
            <a:solidFill>
              <a:srgbClr val="993300"/>
            </a:solidFill>
            <a:ln w="19050">
              <a:solidFill>
                <a:schemeClr val="bg1"/>
              </a:solidFill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Pt>
            <c:idx val="0"/>
            <c:invertIfNegative val="0"/>
            <c:bubble3D val="0"/>
            <c:spPr>
              <a:solidFill>
                <a:srgbClr val="993300"/>
              </a:solidFill>
              <a:ln w="0">
                <a:solidFill>
                  <a:schemeClr val="bg1"/>
                </a:solidFill>
              </a:ln>
              <a:effectLst/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1-18D3-4C34-97C9-1D218D172BA6}"/>
              </c:ext>
            </c:extLst>
          </c:dPt>
          <c:dPt>
            <c:idx val="1"/>
            <c:invertIfNegative val="0"/>
            <c:bubble3D val="0"/>
            <c:spPr>
              <a:solidFill>
                <a:srgbClr val="993300"/>
              </a:solidFill>
              <a:ln w="0">
                <a:solidFill>
                  <a:schemeClr val="bg1"/>
                </a:solidFill>
              </a:ln>
              <a:effectLst/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3-18D3-4C34-97C9-1D218D172BA6}"/>
              </c:ext>
            </c:extLst>
          </c:dPt>
          <c:dPt>
            <c:idx val="2"/>
            <c:invertIfNegative val="0"/>
            <c:bubble3D val="0"/>
            <c:spPr>
              <a:solidFill>
                <a:srgbClr val="993300"/>
              </a:solidFill>
              <a:ln w="0">
                <a:solidFill>
                  <a:schemeClr val="bg1"/>
                </a:solidFill>
              </a:ln>
              <a:effectLst/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5-18D3-4C34-97C9-1D218D172BA6}"/>
              </c:ext>
            </c:extLst>
          </c:dPt>
          <c:dPt>
            <c:idx val="3"/>
            <c:invertIfNegative val="0"/>
            <c:bubble3D val="0"/>
            <c:spPr>
              <a:solidFill>
                <a:srgbClr val="993300"/>
              </a:solidFill>
              <a:ln w="0">
                <a:solidFill>
                  <a:schemeClr val="bg1"/>
                </a:solidFill>
              </a:ln>
              <a:effectLst/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7-18D3-4C34-97C9-1D218D172BA6}"/>
              </c:ext>
            </c:extLst>
          </c:dPt>
          <c:dPt>
            <c:idx val="4"/>
            <c:invertIfNegative val="0"/>
            <c:bubble3D val="0"/>
            <c:spPr>
              <a:solidFill>
                <a:srgbClr val="993300"/>
              </a:solidFill>
              <a:ln w="0">
                <a:solidFill>
                  <a:schemeClr val="bg1"/>
                </a:solidFill>
              </a:ln>
              <a:effectLst/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9-18D3-4C34-97C9-1D218D172BA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'2022 ByMo'!$E$33</c:f>
              <c:numCache>
                <c:formatCode>"$"#,##0</c:formatCode>
                <c:ptCount val="1"/>
                <c:pt idx="0">
                  <c:v>223.4375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18D3-4C34-97C9-1D218D172BA6}"/>
            </c:ext>
          </c:extLst>
        </c:ser>
        <c:ser>
          <c:idx val="0"/>
          <c:order val="1"/>
          <c:tx>
            <c:strRef>
              <c:f>'2022 ByMo'!$A$34</c:f>
              <c:strCache>
                <c:ptCount val="1"/>
                <c:pt idx="0">
                  <c:v>Annual Maintenance</c:v>
                </c:pt>
              </c:strCache>
            </c:strRef>
          </c:tx>
          <c:spPr>
            <a:solidFill>
              <a:srgbClr val="FFFF00"/>
            </a:solidFill>
            <a:ln w="19050">
              <a:solidFill>
                <a:schemeClr val="lt1"/>
              </a:solidFill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'2022 ByMo'!$E$34</c:f>
              <c:numCache>
                <c:formatCode>"$"#,##0</c:formatCode>
                <c:ptCount val="1"/>
                <c:pt idx="0">
                  <c:v>8.9340624999999996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18D3-4C34-97C9-1D218D172BA6}"/>
            </c:ext>
          </c:extLst>
        </c:ser>
        <c:ser>
          <c:idx val="5"/>
          <c:order val="2"/>
          <c:tx>
            <c:strRef>
              <c:f>'2022 ByMo'!$A$35</c:f>
              <c:strCache>
                <c:ptCount val="1"/>
                <c:pt idx="0">
                  <c:v>Periodic Maintenance &amp; Repair</c:v>
                </c:pt>
              </c:strCache>
            </c:strRef>
          </c:tx>
          <c:spPr>
            <a:solidFill>
              <a:srgbClr val="FFC000"/>
            </a:solidFill>
            <a:ln w="19050">
              <a:solidFill>
                <a:schemeClr val="lt1"/>
              </a:solidFill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'2022 ByMo'!$E$35</c:f>
              <c:numCache>
                <c:formatCode>"$"#,##0</c:formatCode>
                <c:ptCount val="1"/>
                <c:pt idx="0">
                  <c:v>21.875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18D3-4C34-97C9-1D218D172BA6}"/>
            </c:ext>
          </c:extLst>
        </c:ser>
        <c:ser>
          <c:idx val="2"/>
          <c:order val="3"/>
          <c:tx>
            <c:strRef>
              <c:f>'2022 ByMo'!$A$36</c:f>
              <c:strCache>
                <c:ptCount val="1"/>
                <c:pt idx="0">
                  <c:v>Insurance</c:v>
                </c:pt>
              </c:strCache>
            </c:strRef>
          </c:tx>
          <c:spPr>
            <a:solidFill>
              <a:srgbClr val="FF0000"/>
            </a:solidFill>
            <a:ln w="19050">
              <a:solidFill>
                <a:schemeClr val="lt1"/>
              </a:solidFill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'2022 ByMo'!$E$36</c:f>
              <c:numCache>
                <c:formatCode>"$"#,##0</c:formatCode>
                <c:ptCount val="1"/>
                <c:pt idx="0">
                  <c:v>32.280000000000008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18D3-4C34-97C9-1D218D172BA6}"/>
            </c:ext>
          </c:extLst>
        </c:ser>
        <c:ser>
          <c:idx val="3"/>
          <c:order val="4"/>
          <c:tx>
            <c:strRef>
              <c:f>'2022 ByMo'!$A$37</c:f>
              <c:strCache>
                <c:ptCount val="1"/>
                <c:pt idx="0">
                  <c:v>Water</c:v>
                </c:pt>
              </c:strCache>
            </c:strRef>
          </c:tx>
          <c:spPr>
            <a:solidFill>
              <a:schemeClr val="accent5"/>
            </a:solidFill>
            <a:ln w="19050">
              <a:solidFill>
                <a:schemeClr val="lt1"/>
              </a:solidFill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'2022 ByMo'!$E$37</c:f>
              <c:numCache>
                <c:formatCode>"$"#,##0</c:formatCode>
                <c:ptCount val="1"/>
                <c:pt idx="0">
                  <c:v>54.591875000000002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18D3-4C34-97C9-1D218D172BA6}"/>
            </c:ext>
          </c:extLst>
        </c:ser>
        <c:ser>
          <c:idx val="4"/>
          <c:order val="5"/>
          <c:tx>
            <c:strRef>
              <c:f>'2022 ByMo'!$A$38</c:f>
              <c:strCache>
                <c:ptCount val="1"/>
                <c:pt idx="0">
                  <c:v>Website, PO Box, Bank Fees, Other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 w="0">
              <a:solidFill>
                <a:schemeClr val="bg1"/>
              </a:solidFill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0-18D3-4C34-97C9-1D218D172BA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'2022 ByMo'!$E$38</c:f>
              <c:numCache>
                <c:formatCode>"$"#,##0</c:formatCode>
                <c:ptCount val="1"/>
                <c:pt idx="0">
                  <c:v>38.849687500000002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18D3-4C34-97C9-1D218D172BA6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100"/>
        <c:axId val="404291416"/>
        <c:axId val="410317224"/>
        <c:extLst/>
      </c:barChart>
      <c:catAx>
        <c:axId val="404291416"/>
        <c:scaling>
          <c:orientation val="minMax"/>
        </c:scaling>
        <c:delete val="1"/>
        <c:axPos val="b"/>
        <c:majorTickMark val="out"/>
        <c:minorTickMark val="none"/>
        <c:tickLblPos val="nextTo"/>
        <c:crossAx val="410317224"/>
        <c:crosses val="autoZero"/>
        <c:auto val="1"/>
        <c:lblAlgn val="ctr"/>
        <c:lblOffset val="100"/>
        <c:noMultiLvlLbl val="0"/>
      </c:catAx>
      <c:valAx>
        <c:axId val="4103172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42914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48280559129090495"/>
          <c:y val="0.1628215617430244"/>
          <c:w val="0.44216003090044942"/>
          <c:h val="0.77591978898958469"/>
        </c:manualLayout>
      </c:layout>
      <c:overlay val="0"/>
      <c:spPr>
        <a:noFill/>
        <a:ln>
          <a:solidFill>
            <a:sysClr val="windowText" lastClr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2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25400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baseline="0">
                <a:solidFill>
                  <a:sysClr val="windowText" lastClr="000000"/>
                </a:solidFill>
              </a:rPr>
              <a:t>2022 Projected Expenses = </a:t>
            </a:r>
            <a:r>
              <a:rPr lang="en-US" b="1" baseline="0">
                <a:solidFill>
                  <a:sysClr val="windowText" lastClr="000000"/>
                </a:solidFill>
              </a:rPr>
              <a:t>$380/Lot</a:t>
            </a:r>
            <a:r>
              <a:rPr lang="en-US" baseline="0">
                <a:solidFill>
                  <a:sysClr val="windowText" lastClr="000000"/>
                </a:solidFill>
              </a:rPr>
              <a:t>: </a:t>
            </a:r>
          </a:p>
          <a:p>
            <a:pPr>
              <a:defRPr>
                <a:solidFill>
                  <a:sysClr val="windowText" lastClr="000000"/>
                </a:solidFill>
              </a:defRPr>
            </a:pPr>
            <a:r>
              <a:rPr lang="en-US" baseline="0">
                <a:solidFill>
                  <a:sysClr val="windowText" lastClr="000000"/>
                </a:solidFill>
              </a:rPr>
              <a:t>$430 From Current Year Dues Less $50 To Reserve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1"/>
          <c:order val="0"/>
          <c:spPr>
            <a:scene3d>
              <a:camera prst="orthographicFront"/>
              <a:lightRig rig="threePt" dir="t"/>
            </a:scene3d>
            <a:sp3d>
              <a:bevelT/>
            </a:sp3d>
          </c:spPr>
          <c:dPt>
            <c:idx val="0"/>
            <c:bubble3D val="0"/>
            <c:spPr>
              <a:solidFill>
                <a:srgbClr val="993300"/>
              </a:solidFill>
              <a:ln w="0">
                <a:solidFill>
                  <a:srgbClr val="993300"/>
                </a:solidFill>
              </a:ln>
              <a:effectLst/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1-7A86-491C-848D-42DDCAF02550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 w="0">
                <a:solidFill>
                  <a:srgbClr val="FFFF00"/>
                </a:solidFill>
              </a:ln>
              <a:effectLst/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3-7A86-491C-848D-42DDCAF02550}"/>
              </c:ext>
            </c:extLst>
          </c:dPt>
          <c:dPt>
            <c:idx val="2"/>
            <c:bubble3D val="0"/>
            <c:spPr>
              <a:solidFill>
                <a:srgbClr val="FFC000"/>
              </a:solidFill>
              <a:ln w="1905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5-7A86-491C-848D-42DDCAF02550}"/>
              </c:ext>
            </c:extLst>
          </c:dPt>
          <c:dPt>
            <c:idx val="3"/>
            <c:bubble3D val="0"/>
            <c:spPr>
              <a:solidFill>
                <a:srgbClr val="FF0000"/>
              </a:solidFill>
              <a:ln w="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7-7A86-491C-848D-42DDCAF02550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9-7A86-491C-848D-42DDCAF02550}"/>
              </c:ext>
            </c:extLst>
          </c:dPt>
          <c:dPt>
            <c:idx val="5"/>
            <c:bubble3D val="0"/>
            <c:spPr>
              <a:solidFill>
                <a:schemeClr val="bg1">
                  <a:lumMod val="65000"/>
                </a:schemeClr>
              </a:solidFill>
              <a:ln w="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B-7A86-491C-848D-42DDCAF02550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fld id="{AAD7C69E-8BD8-4A63-8F5F-33E65A128082}" type="VALUE">
                      <a:rPr lang="en-US">
                        <a:solidFill>
                          <a:schemeClr val="bg1"/>
                        </a:solidFill>
                      </a:rPr>
                      <a:pPr/>
                      <a:t>[VALUE]</a:t>
                    </a:fld>
                    <a:r>
                      <a:rPr lang="en-US" baseline="0">
                        <a:solidFill>
                          <a:schemeClr val="bg1"/>
                        </a:solidFill>
                      </a:rPr>
                      <a:t>, </a:t>
                    </a:r>
                    <a:fld id="{E523EC26-D7BD-4A8C-B3BB-873A847E8ACD}" type="PERCENTAGE">
                      <a:rPr lang="en-US" baseline="0">
                        <a:solidFill>
                          <a:schemeClr val="bg1"/>
                        </a:solidFill>
                      </a:rPr>
                      <a:pPr/>
                      <a:t>[PERCENTAGE]</a:t>
                    </a:fld>
                    <a:endParaRPr lang="en-US" baseline="0">
                      <a:solidFill>
                        <a:schemeClr val="bg1"/>
                      </a:solidFill>
                    </a:endParaRP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7A86-491C-848D-42DDCAF0255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'2022 ByMo'!$A$33:$A$38</c:f>
              <c:strCache>
                <c:ptCount val="6"/>
                <c:pt idx="0">
                  <c:v>Monthly Maintenance</c:v>
                </c:pt>
                <c:pt idx="1">
                  <c:v>Annual Maintenance</c:v>
                </c:pt>
                <c:pt idx="2">
                  <c:v>Periodic Maintenance &amp; Repair</c:v>
                </c:pt>
                <c:pt idx="3">
                  <c:v>Insurance</c:v>
                </c:pt>
                <c:pt idx="4">
                  <c:v>Water</c:v>
                </c:pt>
                <c:pt idx="5">
                  <c:v>Website, PO Box, Bank Fees, Other</c:v>
                </c:pt>
              </c:strCache>
            </c:strRef>
          </c:cat>
          <c:val>
            <c:numRef>
              <c:f>'2022 ByMo'!$E$33:$E$38</c:f>
              <c:numCache>
                <c:formatCode>"$"#,##0</c:formatCode>
                <c:ptCount val="6"/>
                <c:pt idx="0">
                  <c:v>223.4375</c:v>
                </c:pt>
                <c:pt idx="1">
                  <c:v>8.9340624999999996</c:v>
                </c:pt>
                <c:pt idx="2">
                  <c:v>21.875</c:v>
                </c:pt>
                <c:pt idx="3">
                  <c:v>32.280000000000008</c:v>
                </c:pt>
                <c:pt idx="4">
                  <c:v>54.591875000000002</c:v>
                </c:pt>
                <c:pt idx="5">
                  <c:v>38.849687500000002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7A86-491C-848D-42DDCAF02550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9747527916821419"/>
          <c:y val="0.17879785317196559"/>
          <c:w val="0.38843129436100182"/>
          <c:h val="0.70590324694817885"/>
        </c:manualLayout>
      </c:layout>
      <c:overlay val="0"/>
      <c:spPr>
        <a:noFill/>
        <a:ln w="12700">
          <a:solidFill>
            <a:sysClr val="windowText" lastClr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2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25400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32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2018 - 2020 Expenses and Dues Per Homeowner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32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5940434077451646"/>
          <c:y val="0.11363778132181777"/>
          <c:w val="0.67959422481484022"/>
          <c:h val="0.43853768278965127"/>
        </c:manualLayout>
      </c:layout>
      <c:barChart>
        <c:barDir val="col"/>
        <c:grouping val="stacked"/>
        <c:varyColors val="0"/>
        <c:ser>
          <c:idx val="0"/>
          <c:order val="1"/>
          <c:tx>
            <c:strRef>
              <c:f>'2018 To 2020'!$J$50</c:f>
              <c:strCache>
                <c:ptCount val="1"/>
                <c:pt idx="0">
                  <c:v>Monthly Maintenance</c:v>
                </c:pt>
              </c:strCache>
            </c:strRef>
          </c:tx>
          <c:spPr>
            <a:solidFill>
              <a:srgbClr val="993300"/>
            </a:solidFill>
            <a:ln>
              <a:solidFill>
                <a:srgbClr val="993300"/>
              </a:solidFill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'2018 To 2020'!$K$49:$N$49</c:f>
              <c:strCache>
                <c:ptCount val="4"/>
                <c:pt idx="0">
                  <c:v> 2018 Actual </c:v>
                </c:pt>
                <c:pt idx="1">
                  <c:v> 2019 Budget </c:v>
                </c:pt>
                <c:pt idx="2">
                  <c:v> 2019 Projected </c:v>
                </c:pt>
                <c:pt idx="3">
                  <c:v> 2020 Budget </c:v>
                </c:pt>
              </c:strCache>
            </c:strRef>
          </c:cat>
          <c:val>
            <c:numRef>
              <c:f>'2018 To 2020'!$P$50:$S$50</c:f>
              <c:numCache>
                <c:formatCode>"$"#,##0_);\("$"#,##0\)</c:formatCode>
                <c:ptCount val="4"/>
                <c:pt idx="0">
                  <c:v>250.076875</c:v>
                </c:pt>
                <c:pt idx="1">
                  <c:v>318.75</c:v>
                </c:pt>
                <c:pt idx="2">
                  <c:v>254.4453125</c:v>
                </c:pt>
                <c:pt idx="3">
                  <c:v>208.125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17-41E3-934E-C8BF7D9700E1}"/>
            </c:ext>
          </c:extLst>
        </c:ser>
        <c:ser>
          <c:idx val="1"/>
          <c:order val="2"/>
          <c:tx>
            <c:strRef>
              <c:f>'2018 To 2020'!$J$51</c:f>
              <c:strCache>
                <c:ptCount val="1"/>
                <c:pt idx="0">
                  <c:v>Annual Maintenance</c:v>
                </c:pt>
              </c:strCache>
            </c:strRef>
          </c:tx>
          <c:spPr>
            <a:solidFill>
              <a:srgbClr val="FFFF00"/>
            </a:solidFill>
            <a:ln>
              <a:solidFill>
                <a:srgbClr val="FFFF00"/>
              </a:solidFill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'2018 To 2020'!$K$49:$N$49</c:f>
              <c:strCache>
                <c:ptCount val="4"/>
                <c:pt idx="0">
                  <c:v> 2018 Actual </c:v>
                </c:pt>
                <c:pt idx="1">
                  <c:v> 2019 Budget </c:v>
                </c:pt>
                <c:pt idx="2">
                  <c:v> 2019 Projected </c:v>
                </c:pt>
                <c:pt idx="3">
                  <c:v> 2020 Budget </c:v>
                </c:pt>
              </c:strCache>
            </c:strRef>
          </c:cat>
          <c:val>
            <c:numRef>
              <c:f>'2018 To 2020'!$P$51:$S$51</c:f>
              <c:numCache>
                <c:formatCode>"$"#,##0_);\("$"#,##0\)</c:formatCode>
                <c:ptCount val="4"/>
                <c:pt idx="0">
                  <c:v>0</c:v>
                </c:pt>
                <c:pt idx="1">
                  <c:v>15.625</c:v>
                </c:pt>
                <c:pt idx="2">
                  <c:v>13.517812500000002</c:v>
                </c:pt>
                <c:pt idx="3">
                  <c:v>46.25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F17-41E3-934E-C8BF7D9700E1}"/>
            </c:ext>
          </c:extLst>
        </c:ser>
        <c:ser>
          <c:idx val="6"/>
          <c:order val="3"/>
          <c:tx>
            <c:strRef>
              <c:f>'2018 To 2020'!$J$52</c:f>
              <c:strCache>
                <c:ptCount val="1"/>
                <c:pt idx="0">
                  <c:v>Periodic Maint. &amp; Repair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rgbClr val="FFC000"/>
              </a:solidFill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val>
            <c:numRef>
              <c:f>'2018 To 2020'!$P$52:$S$52</c:f>
              <c:numCache>
                <c:formatCode>"$"#,##0_);\("$"#,##0\)</c:formatCode>
                <c:ptCount val="4"/>
                <c:pt idx="0">
                  <c:v>0</c:v>
                </c:pt>
                <c:pt idx="1">
                  <c:v>148.4375</c:v>
                </c:pt>
                <c:pt idx="2">
                  <c:v>274.9921875</c:v>
                </c:pt>
                <c:pt idx="3">
                  <c:v>80.625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F17-41E3-934E-C8BF7D9700E1}"/>
            </c:ext>
          </c:extLst>
        </c:ser>
        <c:ser>
          <c:idx val="3"/>
          <c:order val="4"/>
          <c:tx>
            <c:strRef>
              <c:f>'2018 To 2020'!$J$54</c:f>
              <c:strCache>
                <c:ptCount val="1"/>
                <c:pt idx="0">
                  <c:v> Water and Electricity 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rgbClr val="FF0000"/>
              </a:solidFill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'2018 To 2020'!$K$49:$N$49</c:f>
              <c:strCache>
                <c:ptCount val="4"/>
                <c:pt idx="0">
                  <c:v> 2018 Actual </c:v>
                </c:pt>
                <c:pt idx="1">
                  <c:v> 2019 Budget </c:v>
                </c:pt>
                <c:pt idx="2">
                  <c:v> 2019 Projected </c:v>
                </c:pt>
                <c:pt idx="3">
                  <c:v> 2020 Budget </c:v>
                </c:pt>
              </c:strCache>
            </c:strRef>
          </c:cat>
          <c:val>
            <c:numRef>
              <c:f>'2018 To 2020'!$P$54:$S$54</c:f>
              <c:numCache>
                <c:formatCode>"$"#,##0_);\("$"#,##0\)</c:formatCode>
                <c:ptCount val="4"/>
                <c:pt idx="0">
                  <c:v>39.977187499999999</c:v>
                </c:pt>
                <c:pt idx="1">
                  <c:v>42.1875</c:v>
                </c:pt>
                <c:pt idx="2">
                  <c:v>23.147187499999998</c:v>
                </c:pt>
                <c:pt idx="3">
                  <c:v>36.5625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F17-41E3-934E-C8BF7D9700E1}"/>
            </c:ext>
          </c:extLst>
        </c:ser>
        <c:ser>
          <c:idx val="2"/>
          <c:order val="5"/>
          <c:tx>
            <c:strRef>
              <c:f>'2018 To 2020'!$J$53</c:f>
              <c:strCache>
                <c:ptCount val="1"/>
                <c:pt idx="0">
                  <c:v>Insurance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solidFill>
                <a:schemeClr val="bg1">
                  <a:lumMod val="65000"/>
                </a:schemeClr>
              </a:solidFill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'2018 To 2020'!$K$49:$N$49</c:f>
              <c:strCache>
                <c:ptCount val="4"/>
                <c:pt idx="0">
                  <c:v> 2018 Actual </c:v>
                </c:pt>
                <c:pt idx="1">
                  <c:v> 2019 Budget </c:v>
                </c:pt>
                <c:pt idx="2">
                  <c:v> 2019 Projected </c:v>
                </c:pt>
                <c:pt idx="3">
                  <c:v> 2020 Budget </c:v>
                </c:pt>
              </c:strCache>
            </c:strRef>
          </c:cat>
          <c:val>
            <c:numRef>
              <c:f>'2018 To 2020'!$P$53:$S$53</c:f>
              <c:numCache>
                <c:formatCode>"$"#,##0_);\("$"#,##0\)</c:formatCode>
                <c:ptCount val="4"/>
                <c:pt idx="0">
                  <c:v>21.9375</c:v>
                </c:pt>
                <c:pt idx="1">
                  <c:v>24.375</c:v>
                </c:pt>
                <c:pt idx="2">
                  <c:v>24.709375000000001</c:v>
                </c:pt>
                <c:pt idx="3">
                  <c:v>32.812500000000007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F17-41E3-934E-C8BF7D9700E1}"/>
            </c:ext>
          </c:extLst>
        </c:ser>
        <c:ser>
          <c:idx val="4"/>
          <c:order val="6"/>
          <c:tx>
            <c:strRef>
              <c:f>'2018 To 2020'!$J$55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rgbClr val="0000FF"/>
            </a:solidFill>
            <a:ln>
              <a:solidFill>
                <a:srgbClr val="0000FF"/>
              </a:solidFill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val>
            <c:numRef>
              <c:f>'2018 To 2020'!$P$55:$S$55</c:f>
              <c:numCache>
                <c:formatCode>"$"#,##0_);\("$"#,##0\)</c:formatCode>
                <c:ptCount val="4"/>
                <c:pt idx="0">
                  <c:v>9.4468750000000004</c:v>
                </c:pt>
                <c:pt idx="1">
                  <c:v>11.71875</c:v>
                </c:pt>
                <c:pt idx="2">
                  <c:v>18.224374999999998</c:v>
                </c:pt>
                <c:pt idx="3">
                  <c:v>25.625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F17-41E3-934E-C8BF7D9700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05297992"/>
        <c:axId val="405291328"/>
      </c:barChart>
      <c:lineChart>
        <c:grouping val="standard"/>
        <c:varyColors val="0"/>
        <c:ser>
          <c:idx val="5"/>
          <c:order val="0"/>
          <c:tx>
            <c:v>Dues</c:v>
          </c:tx>
          <c:spPr>
            <a:ln w="50800" cap="rnd">
              <a:solidFill>
                <a:srgbClr val="33CC33"/>
              </a:solidFill>
              <a:round/>
            </a:ln>
            <a:effectLst/>
          </c:spPr>
          <c:marker>
            <c:symbol val="none"/>
          </c:marker>
          <c:dPt>
            <c:idx val="2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6-3F17-41E3-934E-C8BF7D9700E1}"/>
              </c:ext>
            </c:extLst>
          </c:dPt>
          <c:val>
            <c:numRef>
              <c:f>'2018 To 2020'!$P$57:$S$57</c:f>
              <c:numCache>
                <c:formatCode>"$"#,##0_);\("$"#,##0\)</c:formatCode>
                <c:ptCount val="4"/>
                <c:pt idx="0">
                  <c:v>375</c:v>
                </c:pt>
                <c:pt idx="1">
                  <c:v>375</c:v>
                </c:pt>
                <c:pt idx="2">
                  <c:v>375</c:v>
                </c:pt>
                <c:pt idx="3">
                  <c:v>430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3F17-41E3-934E-C8BF7D9700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5297992"/>
        <c:axId val="405291328"/>
      </c:lineChart>
      <c:catAx>
        <c:axId val="4052979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5291328"/>
        <c:crosses val="autoZero"/>
        <c:auto val="1"/>
        <c:lblAlgn val="ctr"/>
        <c:lblOffset val="100"/>
        <c:noMultiLvlLbl val="0"/>
      </c:catAx>
      <c:valAx>
        <c:axId val="4052913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_);\(&quot;$&quot;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5297992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1100" baseline="0"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baseline="0">
                <a:solidFill>
                  <a:sysClr val="windowText" lastClr="000000"/>
                </a:solidFill>
              </a:rPr>
              <a:t>2022 Projected Expenses &amp; Reserve Contribution or (Use) Per Lot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2173180261175477E-2"/>
          <c:y val="0.11521851116049917"/>
          <c:w val="0.41839489186268419"/>
          <c:h val="0.8506104556023617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'2022 ByMo'!$A$33</c:f>
              <c:strCache>
                <c:ptCount val="1"/>
                <c:pt idx="0">
                  <c:v>Monthly Maintenance</c:v>
                </c:pt>
              </c:strCache>
            </c:strRef>
          </c:tx>
          <c:spPr>
            <a:solidFill>
              <a:srgbClr val="993300"/>
            </a:solidFill>
            <a:ln w="19050">
              <a:solidFill>
                <a:schemeClr val="bg1"/>
              </a:solidFill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Pt>
            <c:idx val="0"/>
            <c:invertIfNegative val="0"/>
            <c:bubble3D val="0"/>
            <c:spPr>
              <a:solidFill>
                <a:srgbClr val="993300"/>
              </a:solidFill>
              <a:ln w="0">
                <a:solidFill>
                  <a:schemeClr val="bg1"/>
                </a:solidFill>
              </a:ln>
              <a:effectLst/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1-ABA0-410C-AE3D-BC9BC51C8F18}"/>
              </c:ext>
            </c:extLst>
          </c:dPt>
          <c:dPt>
            <c:idx val="1"/>
            <c:invertIfNegative val="0"/>
            <c:bubble3D val="0"/>
            <c:spPr>
              <a:solidFill>
                <a:srgbClr val="993300"/>
              </a:solidFill>
              <a:ln w="0">
                <a:solidFill>
                  <a:schemeClr val="bg1"/>
                </a:solidFill>
              </a:ln>
              <a:effectLst/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3-ABA0-410C-AE3D-BC9BC51C8F18}"/>
              </c:ext>
            </c:extLst>
          </c:dPt>
          <c:dPt>
            <c:idx val="2"/>
            <c:invertIfNegative val="0"/>
            <c:bubble3D val="0"/>
            <c:spPr>
              <a:solidFill>
                <a:srgbClr val="993300"/>
              </a:solidFill>
              <a:ln w="0">
                <a:solidFill>
                  <a:schemeClr val="bg1"/>
                </a:solidFill>
              </a:ln>
              <a:effectLst/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5-ABA0-410C-AE3D-BC9BC51C8F18}"/>
              </c:ext>
            </c:extLst>
          </c:dPt>
          <c:dPt>
            <c:idx val="3"/>
            <c:invertIfNegative val="0"/>
            <c:bubble3D val="0"/>
            <c:spPr>
              <a:solidFill>
                <a:srgbClr val="993300"/>
              </a:solidFill>
              <a:ln w="0">
                <a:solidFill>
                  <a:schemeClr val="bg1"/>
                </a:solidFill>
              </a:ln>
              <a:effectLst/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7-ABA0-410C-AE3D-BC9BC51C8F18}"/>
              </c:ext>
            </c:extLst>
          </c:dPt>
          <c:dPt>
            <c:idx val="4"/>
            <c:invertIfNegative val="0"/>
            <c:bubble3D val="0"/>
            <c:spPr>
              <a:solidFill>
                <a:srgbClr val="993300"/>
              </a:solidFill>
              <a:ln w="0">
                <a:solidFill>
                  <a:schemeClr val="bg1"/>
                </a:solidFill>
              </a:ln>
              <a:effectLst/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9-ABA0-410C-AE3D-BC9BC51C8F1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'2022 ByMo'!$E$33</c:f>
              <c:numCache>
                <c:formatCode>"$"#,##0</c:formatCode>
                <c:ptCount val="1"/>
                <c:pt idx="0">
                  <c:v>223.4375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ABA0-410C-AE3D-BC9BC51C8F18}"/>
            </c:ext>
          </c:extLst>
        </c:ser>
        <c:ser>
          <c:idx val="0"/>
          <c:order val="1"/>
          <c:tx>
            <c:strRef>
              <c:f>'2022 ByMo'!$A$34</c:f>
              <c:strCache>
                <c:ptCount val="1"/>
                <c:pt idx="0">
                  <c:v>Annual Maintenance</c:v>
                </c:pt>
              </c:strCache>
            </c:strRef>
          </c:tx>
          <c:spPr>
            <a:solidFill>
              <a:srgbClr val="FFFF00"/>
            </a:solidFill>
            <a:ln w="19050">
              <a:solidFill>
                <a:schemeClr val="lt1"/>
              </a:solidFill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'2022 ByMo'!$E$34</c:f>
              <c:numCache>
                <c:formatCode>"$"#,##0</c:formatCode>
                <c:ptCount val="1"/>
                <c:pt idx="0">
                  <c:v>8.9340624999999996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ABA0-410C-AE3D-BC9BC51C8F18}"/>
            </c:ext>
          </c:extLst>
        </c:ser>
        <c:ser>
          <c:idx val="5"/>
          <c:order val="2"/>
          <c:tx>
            <c:strRef>
              <c:f>'2022 ByMo'!$A$35</c:f>
              <c:strCache>
                <c:ptCount val="1"/>
                <c:pt idx="0">
                  <c:v>Periodic Maintenance &amp; Repair</c:v>
                </c:pt>
              </c:strCache>
            </c:strRef>
          </c:tx>
          <c:spPr>
            <a:solidFill>
              <a:srgbClr val="FFC000"/>
            </a:solidFill>
            <a:ln w="19050">
              <a:solidFill>
                <a:schemeClr val="lt1"/>
              </a:solidFill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'2022 ByMo'!$E$35</c:f>
              <c:numCache>
                <c:formatCode>"$"#,##0</c:formatCode>
                <c:ptCount val="1"/>
                <c:pt idx="0">
                  <c:v>21.875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ABA0-410C-AE3D-BC9BC51C8F18}"/>
            </c:ext>
          </c:extLst>
        </c:ser>
        <c:ser>
          <c:idx val="2"/>
          <c:order val="3"/>
          <c:tx>
            <c:strRef>
              <c:f>'2022 ByMo'!$A$36</c:f>
              <c:strCache>
                <c:ptCount val="1"/>
                <c:pt idx="0">
                  <c:v>Insurance</c:v>
                </c:pt>
              </c:strCache>
            </c:strRef>
          </c:tx>
          <c:spPr>
            <a:solidFill>
              <a:srgbClr val="FF0000"/>
            </a:solidFill>
            <a:ln w="19050">
              <a:solidFill>
                <a:schemeClr val="lt1"/>
              </a:solidFill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'2022 ByMo'!$E$36</c:f>
              <c:numCache>
                <c:formatCode>"$"#,##0</c:formatCode>
                <c:ptCount val="1"/>
                <c:pt idx="0">
                  <c:v>32.280000000000008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ABA0-410C-AE3D-BC9BC51C8F18}"/>
            </c:ext>
          </c:extLst>
        </c:ser>
        <c:ser>
          <c:idx val="3"/>
          <c:order val="4"/>
          <c:tx>
            <c:strRef>
              <c:f>'2022 ByMo'!$A$37</c:f>
              <c:strCache>
                <c:ptCount val="1"/>
                <c:pt idx="0">
                  <c:v>Water</c:v>
                </c:pt>
              </c:strCache>
            </c:strRef>
          </c:tx>
          <c:spPr>
            <a:solidFill>
              <a:schemeClr val="accent5"/>
            </a:solidFill>
            <a:ln w="19050">
              <a:solidFill>
                <a:schemeClr val="lt1"/>
              </a:solidFill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'2022 ByMo'!$E$37</c:f>
              <c:numCache>
                <c:formatCode>"$"#,##0</c:formatCode>
                <c:ptCount val="1"/>
                <c:pt idx="0">
                  <c:v>54.591875000000002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ABA0-410C-AE3D-BC9BC51C8F18}"/>
            </c:ext>
          </c:extLst>
        </c:ser>
        <c:ser>
          <c:idx val="4"/>
          <c:order val="5"/>
          <c:tx>
            <c:strRef>
              <c:f>'2022 ByMo'!$A$38</c:f>
              <c:strCache>
                <c:ptCount val="1"/>
                <c:pt idx="0">
                  <c:v>Website, PO Box, Bank Fees, Other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 w="0">
              <a:solidFill>
                <a:schemeClr val="bg1"/>
              </a:solidFill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0-ABA0-410C-AE3D-BC9BC51C8F1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'2022 ByMo'!$E$38</c:f>
              <c:numCache>
                <c:formatCode>"$"#,##0</c:formatCode>
                <c:ptCount val="1"/>
                <c:pt idx="0">
                  <c:v>38.849687500000002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ABA0-410C-AE3D-BC9BC51C8F18}"/>
            </c:ext>
          </c:extLst>
        </c:ser>
        <c:ser>
          <c:idx val="6"/>
          <c:order val="6"/>
          <c:tx>
            <c:strRef>
              <c:f>'2022 ByMo'!#REF!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 w="19050">
              <a:solidFill>
                <a:schemeClr val="lt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'2022 ByMo'!#REF!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ABA0-410C-AE3D-BC9BC51C8F18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100"/>
        <c:axId val="404291416"/>
        <c:axId val="410317224"/>
      </c:barChart>
      <c:catAx>
        <c:axId val="404291416"/>
        <c:scaling>
          <c:orientation val="minMax"/>
        </c:scaling>
        <c:delete val="1"/>
        <c:axPos val="b"/>
        <c:majorTickMark val="out"/>
        <c:minorTickMark val="none"/>
        <c:tickLblPos val="nextTo"/>
        <c:crossAx val="410317224"/>
        <c:crosses val="autoZero"/>
        <c:auto val="1"/>
        <c:lblAlgn val="ctr"/>
        <c:lblOffset val="100"/>
        <c:noMultiLvlLbl val="0"/>
      </c:catAx>
      <c:valAx>
        <c:axId val="4103172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42914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48280559129090495"/>
          <c:y val="0.1628215617430244"/>
          <c:w val="0.44216003090044942"/>
          <c:h val="0.77591978898958469"/>
        </c:manualLayout>
      </c:layout>
      <c:overlay val="0"/>
      <c:spPr>
        <a:noFill/>
        <a:ln>
          <a:solidFill>
            <a:sysClr val="windowText" lastClr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2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b="1" baseline="0">
                <a:solidFill>
                  <a:sysClr val="windowText" lastClr="000000"/>
                </a:solidFill>
              </a:rPr>
              <a:t>2018 - 2022 Expenses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1469492239396002E-2"/>
          <c:y val="0.15649789029535865"/>
          <c:w val="0.59689164185995025"/>
          <c:h val="0.6924188217121237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'2018 To 2022'!$J$50</c:f>
              <c:strCache>
                <c:ptCount val="1"/>
                <c:pt idx="0">
                  <c:v>Monthly Maintenance</c:v>
                </c:pt>
              </c:strCache>
            </c:strRef>
          </c:tx>
          <c:spPr>
            <a:solidFill>
              <a:srgbClr val="993300"/>
            </a:solidFill>
            <a:ln>
              <a:solidFill>
                <a:srgbClr val="993300"/>
              </a:solidFill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'2018 To 2022'!$K$49:$O$49</c15:sqref>
                  </c15:fullRef>
                </c:ext>
              </c:extLst>
              <c:f>'2018 To 2022'!$K$49:$O$49</c:f>
              <c:strCache>
                <c:ptCount val="5"/>
                <c:pt idx="0">
                  <c:v> 2018 Actual </c:v>
                </c:pt>
                <c:pt idx="1">
                  <c:v> 2019 Actual </c:v>
                </c:pt>
                <c:pt idx="2">
                  <c:v> 2020 Actual </c:v>
                </c:pt>
                <c:pt idx="3">
                  <c:v> 2021 Actual </c:v>
                </c:pt>
                <c:pt idx="4">
                  <c:v> 2022 Prelim 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'2018 To 2022'!$K$50:$P$50</c15:sqref>
                  </c15:fullRef>
                </c:ext>
              </c:extLst>
              <c:f>'2018 To 2022'!$K$50:$O$50</c:f>
              <c:numCache>
                <c:formatCode>"$"#,##0</c:formatCode>
                <c:ptCount val="5"/>
                <c:pt idx="0">
                  <c:v>8002.46</c:v>
                </c:pt>
                <c:pt idx="1">
                  <c:v>8142.25</c:v>
                </c:pt>
                <c:pt idx="2">
                  <c:v>6600</c:v>
                </c:pt>
                <c:pt idx="3">
                  <c:v>6050</c:v>
                </c:pt>
                <c:pt idx="4">
                  <c:v>7150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E0C-4CA7-82F5-D5C566A41180}"/>
            </c:ext>
          </c:extLst>
        </c:ser>
        <c:ser>
          <c:idx val="1"/>
          <c:order val="1"/>
          <c:tx>
            <c:strRef>
              <c:f>'2018 To 2022'!$J$51</c:f>
              <c:strCache>
                <c:ptCount val="1"/>
                <c:pt idx="0">
                  <c:v>Annual Maintenance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'2018 To 2022'!$K$49:$O$49</c15:sqref>
                  </c15:fullRef>
                </c:ext>
              </c:extLst>
              <c:f>'2018 To 2022'!$K$49:$O$49</c:f>
              <c:strCache>
                <c:ptCount val="5"/>
                <c:pt idx="0">
                  <c:v> 2018 Actual </c:v>
                </c:pt>
                <c:pt idx="1">
                  <c:v> 2019 Actual </c:v>
                </c:pt>
                <c:pt idx="2">
                  <c:v> 2020 Actual </c:v>
                </c:pt>
                <c:pt idx="3">
                  <c:v> 2021 Actual </c:v>
                </c:pt>
                <c:pt idx="4">
                  <c:v> 2022 Prelim 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'2018 To 2022'!$K$51:$P$51</c15:sqref>
                  </c15:fullRef>
                </c:ext>
              </c:extLst>
              <c:f>'2018 To 2022'!$K$51:$O$51</c:f>
              <c:numCache>
                <c:formatCode>"$"#,##0</c:formatCode>
                <c:ptCount val="5"/>
                <c:pt idx="0">
                  <c:v>0</c:v>
                </c:pt>
                <c:pt idx="1">
                  <c:v>432.57000000000005</c:v>
                </c:pt>
                <c:pt idx="2">
                  <c:v>726.24999999999989</c:v>
                </c:pt>
                <c:pt idx="3">
                  <c:v>0</c:v>
                </c:pt>
                <c:pt idx="4">
                  <c:v>285.89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E0C-4CA7-82F5-D5C566A41180}"/>
            </c:ext>
          </c:extLst>
        </c:ser>
        <c:ser>
          <c:idx val="5"/>
          <c:order val="2"/>
          <c:tx>
            <c:strRef>
              <c:f>'2018 To 2022'!$J$52</c:f>
              <c:strCache>
                <c:ptCount val="1"/>
                <c:pt idx="0">
                  <c:v>Periodic Maint. &amp; Repair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'2018 To 2022'!$K$49:$O$49</c15:sqref>
                  </c15:fullRef>
                </c:ext>
              </c:extLst>
              <c:f>'2018 To 2022'!$K$49:$O$49</c:f>
              <c:strCache>
                <c:ptCount val="5"/>
                <c:pt idx="0">
                  <c:v> 2018 Actual </c:v>
                </c:pt>
                <c:pt idx="1">
                  <c:v> 2019 Actual </c:v>
                </c:pt>
                <c:pt idx="2">
                  <c:v> 2020 Actual </c:v>
                </c:pt>
                <c:pt idx="3">
                  <c:v> 2021 Actual </c:v>
                </c:pt>
                <c:pt idx="4">
                  <c:v> 2022 Prelim 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'2018 To 2022'!$K$52:$N$52</c15:sqref>
                  </c15:fullRef>
                </c:ext>
              </c:extLst>
              <c:f>'2018 To 2022'!$K$52:$N$52</c:f>
              <c:numCache>
                <c:formatCode>"$"#,##0</c:formatCode>
                <c:ptCount val="4"/>
                <c:pt idx="0">
                  <c:v>0</c:v>
                </c:pt>
                <c:pt idx="1">
                  <c:v>8799.75</c:v>
                </c:pt>
                <c:pt idx="2">
                  <c:v>2850</c:v>
                </c:pt>
                <c:pt idx="3">
                  <c:v>593.54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E0C-4CA7-82F5-D5C566A41180}"/>
            </c:ext>
          </c:extLst>
        </c:ser>
        <c:ser>
          <c:idx val="3"/>
          <c:order val="3"/>
          <c:tx>
            <c:strRef>
              <c:f>'2018 To 2022'!$J$54</c:f>
              <c:strCache>
                <c:ptCount val="1"/>
                <c:pt idx="0">
                  <c:v> Water and Electricity 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'2018 To 2022'!$K$49:$O$49</c15:sqref>
                  </c15:fullRef>
                </c:ext>
              </c:extLst>
              <c:f>'2018 To 2022'!$K$49:$O$49</c:f>
              <c:strCache>
                <c:ptCount val="5"/>
                <c:pt idx="0">
                  <c:v> 2018 Actual </c:v>
                </c:pt>
                <c:pt idx="1">
                  <c:v> 2019 Actual </c:v>
                </c:pt>
                <c:pt idx="2">
                  <c:v> 2020 Actual </c:v>
                </c:pt>
                <c:pt idx="3">
                  <c:v> 2021 Actual </c:v>
                </c:pt>
                <c:pt idx="4">
                  <c:v> 2022 Prelim 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'2018 To 2022'!$K$54:$P$54</c15:sqref>
                  </c15:fullRef>
                </c:ext>
              </c:extLst>
              <c:f>'2018 To 2022'!$K$54:$O$54</c:f>
              <c:numCache>
                <c:formatCode>"$"#,##0</c:formatCode>
                <c:ptCount val="5"/>
                <c:pt idx="0">
                  <c:v>1279.27</c:v>
                </c:pt>
                <c:pt idx="1">
                  <c:v>740.70999999999992</c:v>
                </c:pt>
                <c:pt idx="2">
                  <c:v>1298.5500000000002</c:v>
                </c:pt>
                <c:pt idx="3">
                  <c:v>1077.3899999999999</c:v>
                </c:pt>
                <c:pt idx="4">
                  <c:v>1746.94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E0C-4CA7-82F5-D5C566A41180}"/>
            </c:ext>
          </c:extLst>
        </c:ser>
        <c:ser>
          <c:idx val="2"/>
          <c:order val="4"/>
          <c:tx>
            <c:strRef>
              <c:f>'2018 To 2022'!$J$53</c:f>
              <c:strCache>
                <c:ptCount val="1"/>
                <c:pt idx="0">
                  <c:v>Insurance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'2018 To 2022'!$K$49:$O$49</c15:sqref>
                  </c15:fullRef>
                </c:ext>
              </c:extLst>
              <c:f>'2018 To 2022'!$K$49:$O$49</c:f>
              <c:strCache>
                <c:ptCount val="5"/>
                <c:pt idx="0">
                  <c:v> 2018 Actual </c:v>
                </c:pt>
                <c:pt idx="1">
                  <c:v> 2019 Actual </c:v>
                </c:pt>
                <c:pt idx="2">
                  <c:v> 2020 Actual </c:v>
                </c:pt>
                <c:pt idx="3">
                  <c:v> 2021 Actual </c:v>
                </c:pt>
                <c:pt idx="4">
                  <c:v> 2022 Prelim 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'2018 To 2022'!$K$53:$P$53</c15:sqref>
                  </c15:fullRef>
                </c:ext>
              </c:extLst>
              <c:f>'2018 To 2022'!$K$53:$O$53</c:f>
              <c:numCache>
                <c:formatCode>"$"#,##0</c:formatCode>
                <c:ptCount val="5"/>
                <c:pt idx="0">
                  <c:v>702</c:v>
                </c:pt>
                <c:pt idx="1">
                  <c:v>790.7</c:v>
                </c:pt>
                <c:pt idx="2">
                  <c:v>1048.7300000000002</c:v>
                </c:pt>
                <c:pt idx="3">
                  <c:v>1032.9600000000003</c:v>
                </c:pt>
                <c:pt idx="4">
                  <c:v>1032.9600000000003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E0C-4CA7-82F5-D5C566A41180}"/>
            </c:ext>
          </c:extLst>
        </c:ser>
        <c:ser>
          <c:idx val="4"/>
          <c:order val="5"/>
          <c:tx>
            <c:strRef>
              <c:f>'2018 To 2022'!$J$55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'2018 To 2022'!$K$49:$O$49</c15:sqref>
                  </c15:fullRef>
                </c:ext>
              </c:extLst>
              <c:f>'2018 To 2022'!$K$49:$O$49</c:f>
              <c:strCache>
                <c:ptCount val="5"/>
                <c:pt idx="0">
                  <c:v> 2018 Actual </c:v>
                </c:pt>
                <c:pt idx="1">
                  <c:v> 2019 Actual </c:v>
                </c:pt>
                <c:pt idx="2">
                  <c:v> 2020 Actual </c:v>
                </c:pt>
                <c:pt idx="3">
                  <c:v> 2021 Actual </c:v>
                </c:pt>
                <c:pt idx="4">
                  <c:v> 2022 Prelim 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'2018 To 2022'!$K$55:$O$55</c15:sqref>
                  </c15:fullRef>
                </c:ext>
              </c:extLst>
              <c:f>'2018 To 2022'!$K$55:$O$55</c:f>
              <c:numCache>
                <c:formatCode>"$"#,##0</c:formatCode>
                <c:ptCount val="5"/>
                <c:pt idx="0">
                  <c:v>302.3</c:v>
                </c:pt>
                <c:pt idx="1">
                  <c:v>583.17999999999995</c:v>
                </c:pt>
                <c:pt idx="2">
                  <c:v>498.34</c:v>
                </c:pt>
                <c:pt idx="3">
                  <c:v>48</c:v>
                </c:pt>
                <c:pt idx="4">
                  <c:v>1243.19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E0C-4CA7-82F5-D5C566A411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05295248"/>
        <c:axId val="405295640"/>
      </c:barChart>
      <c:catAx>
        <c:axId val="4052952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5295640"/>
        <c:crosses val="autoZero"/>
        <c:auto val="1"/>
        <c:lblAlgn val="ctr"/>
        <c:lblOffset val="100"/>
        <c:noMultiLvlLbl val="0"/>
      </c:catAx>
      <c:valAx>
        <c:axId val="405295640"/>
        <c:scaling>
          <c:orientation val="minMax"/>
          <c:max val="2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52952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9860934858870793"/>
          <c:y val="0.16621191372817529"/>
          <c:w val="0.26310562450428504"/>
          <c:h val="0.6644034577199589"/>
        </c:manualLayout>
      </c:layout>
      <c:overlay val="0"/>
      <c:spPr>
        <a:noFill/>
        <a:ln>
          <a:solidFill>
            <a:sysClr val="windowText" lastClr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baseline="0"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32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2018 - 2022 Expenses and Dues Per Homeowner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32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5940434077451646"/>
          <c:y val="0.11363778132181777"/>
          <c:w val="0.67959422481484022"/>
          <c:h val="0.43853768278965127"/>
        </c:manualLayout>
      </c:layout>
      <c:barChart>
        <c:barDir val="col"/>
        <c:grouping val="stacked"/>
        <c:varyColors val="0"/>
        <c:ser>
          <c:idx val="0"/>
          <c:order val="1"/>
          <c:tx>
            <c:strRef>
              <c:f>'2018 To 2022'!$J$50</c:f>
              <c:strCache>
                <c:ptCount val="1"/>
                <c:pt idx="0">
                  <c:v>Monthly Maintenance</c:v>
                </c:pt>
              </c:strCache>
            </c:strRef>
          </c:tx>
          <c:spPr>
            <a:solidFill>
              <a:srgbClr val="993300"/>
            </a:solidFill>
            <a:ln>
              <a:solidFill>
                <a:srgbClr val="993300"/>
              </a:solidFill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'2018 To 2022'!$Q$49:$U$49</c:f>
              <c:strCache>
                <c:ptCount val="5"/>
                <c:pt idx="0">
                  <c:v> 2018 Actual </c:v>
                </c:pt>
                <c:pt idx="1">
                  <c:v> 2019 Actual </c:v>
                </c:pt>
                <c:pt idx="2">
                  <c:v> 2020 Actual </c:v>
                </c:pt>
                <c:pt idx="3">
                  <c:v> 2021 Actual </c:v>
                </c:pt>
                <c:pt idx="4">
                  <c:v> 2022 Prelim </c:v>
                </c:pt>
              </c:strCache>
            </c:strRef>
          </c:cat>
          <c:val>
            <c:numRef>
              <c:f>'2018 To 2022'!$Q$50:$U$50</c:f>
              <c:numCache>
                <c:formatCode>"$"#,##0_);\("$"#,##0\)</c:formatCode>
                <c:ptCount val="5"/>
                <c:pt idx="0">
                  <c:v>250.076875</c:v>
                </c:pt>
                <c:pt idx="1">
                  <c:v>254.4453125</c:v>
                </c:pt>
                <c:pt idx="2">
                  <c:v>206.25</c:v>
                </c:pt>
                <c:pt idx="3">
                  <c:v>189.0625</c:v>
                </c:pt>
                <c:pt idx="4">
                  <c:v>223.4375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29-47D9-AADB-5986A8BFE651}"/>
            </c:ext>
          </c:extLst>
        </c:ser>
        <c:ser>
          <c:idx val="1"/>
          <c:order val="2"/>
          <c:tx>
            <c:strRef>
              <c:f>'2018 To 2022'!$J$51</c:f>
              <c:strCache>
                <c:ptCount val="1"/>
                <c:pt idx="0">
                  <c:v>Annual Maintenance</c:v>
                </c:pt>
              </c:strCache>
            </c:strRef>
          </c:tx>
          <c:spPr>
            <a:solidFill>
              <a:srgbClr val="FFFF00"/>
            </a:solidFill>
            <a:ln>
              <a:solidFill>
                <a:srgbClr val="FFFF00"/>
              </a:solidFill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'2018 To 2022'!$Q$49:$U$49</c:f>
              <c:strCache>
                <c:ptCount val="5"/>
                <c:pt idx="0">
                  <c:v> 2018 Actual </c:v>
                </c:pt>
                <c:pt idx="1">
                  <c:v> 2019 Actual </c:v>
                </c:pt>
                <c:pt idx="2">
                  <c:v> 2020 Actual </c:v>
                </c:pt>
                <c:pt idx="3">
                  <c:v> 2021 Actual </c:v>
                </c:pt>
                <c:pt idx="4">
                  <c:v> 2022 Prelim </c:v>
                </c:pt>
              </c:strCache>
            </c:strRef>
          </c:cat>
          <c:val>
            <c:numRef>
              <c:f>'2018 To 2022'!$Q$51:$U$51</c:f>
              <c:numCache>
                <c:formatCode>"$"#,##0_);\("$"#,##0\)</c:formatCode>
                <c:ptCount val="5"/>
                <c:pt idx="0">
                  <c:v>0</c:v>
                </c:pt>
                <c:pt idx="1">
                  <c:v>13.517812500000002</c:v>
                </c:pt>
                <c:pt idx="2">
                  <c:v>22.695312499999996</c:v>
                </c:pt>
                <c:pt idx="3">
                  <c:v>0</c:v>
                </c:pt>
                <c:pt idx="4">
                  <c:v>8.9340624999999996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129-47D9-AADB-5986A8BFE651}"/>
            </c:ext>
          </c:extLst>
        </c:ser>
        <c:ser>
          <c:idx val="6"/>
          <c:order val="3"/>
          <c:tx>
            <c:strRef>
              <c:f>'2018 To 2022'!$J$52</c:f>
              <c:strCache>
                <c:ptCount val="1"/>
                <c:pt idx="0">
                  <c:v>Periodic Maint. &amp; Repair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rgbClr val="FFC000"/>
              </a:solidFill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'2018 To 2022'!$Q$49:$U$49</c:f>
              <c:strCache>
                <c:ptCount val="5"/>
                <c:pt idx="0">
                  <c:v> 2018 Actual </c:v>
                </c:pt>
                <c:pt idx="1">
                  <c:v> 2019 Actual </c:v>
                </c:pt>
                <c:pt idx="2">
                  <c:v> 2020 Actual </c:v>
                </c:pt>
                <c:pt idx="3">
                  <c:v> 2021 Actual </c:v>
                </c:pt>
                <c:pt idx="4">
                  <c:v> 2022 Prelim </c:v>
                </c:pt>
              </c:strCache>
            </c:strRef>
          </c:cat>
          <c:val>
            <c:numRef>
              <c:f>'2018 To 2022'!$Q$52:$U$52</c:f>
              <c:numCache>
                <c:formatCode>"$"#,##0_);\("$"#,##0\)</c:formatCode>
                <c:ptCount val="5"/>
                <c:pt idx="0">
                  <c:v>0</c:v>
                </c:pt>
                <c:pt idx="1">
                  <c:v>274.9921875</c:v>
                </c:pt>
                <c:pt idx="2">
                  <c:v>89.0625</c:v>
                </c:pt>
                <c:pt idx="3">
                  <c:v>18.548124999999999</c:v>
                </c:pt>
                <c:pt idx="4">
                  <c:v>21.875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129-47D9-AADB-5986A8BFE651}"/>
            </c:ext>
          </c:extLst>
        </c:ser>
        <c:ser>
          <c:idx val="3"/>
          <c:order val="4"/>
          <c:tx>
            <c:strRef>
              <c:f>'2018 To 2022'!$J$54</c:f>
              <c:strCache>
                <c:ptCount val="1"/>
                <c:pt idx="0">
                  <c:v> Water and Electricity 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rgbClr val="FF0000"/>
              </a:solidFill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'2018 To 2022'!$Q$49:$U$49</c:f>
              <c:strCache>
                <c:ptCount val="5"/>
                <c:pt idx="0">
                  <c:v> 2018 Actual </c:v>
                </c:pt>
                <c:pt idx="1">
                  <c:v> 2019 Actual </c:v>
                </c:pt>
                <c:pt idx="2">
                  <c:v> 2020 Actual </c:v>
                </c:pt>
                <c:pt idx="3">
                  <c:v> 2021 Actual </c:v>
                </c:pt>
                <c:pt idx="4">
                  <c:v> 2022 Prelim </c:v>
                </c:pt>
              </c:strCache>
            </c:strRef>
          </c:cat>
          <c:val>
            <c:numRef>
              <c:f>'2018 To 2022'!$Q$54:$U$54</c:f>
              <c:numCache>
                <c:formatCode>"$"#,##0_);\("$"#,##0\)</c:formatCode>
                <c:ptCount val="5"/>
                <c:pt idx="0">
                  <c:v>39.977187499999999</c:v>
                </c:pt>
                <c:pt idx="1">
                  <c:v>23.147187499999998</c:v>
                </c:pt>
                <c:pt idx="2">
                  <c:v>40.579687500000006</c:v>
                </c:pt>
                <c:pt idx="3">
                  <c:v>33.668437499999996</c:v>
                </c:pt>
                <c:pt idx="4">
                  <c:v>54.591875000000002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129-47D9-AADB-5986A8BFE651}"/>
            </c:ext>
          </c:extLst>
        </c:ser>
        <c:ser>
          <c:idx val="2"/>
          <c:order val="5"/>
          <c:tx>
            <c:strRef>
              <c:f>'2018 To 2022'!$J$53</c:f>
              <c:strCache>
                <c:ptCount val="1"/>
                <c:pt idx="0">
                  <c:v>Insurance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solidFill>
                <a:schemeClr val="bg1">
                  <a:lumMod val="65000"/>
                </a:schemeClr>
              </a:solidFill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'2018 To 2022'!$Q$49:$U$49</c:f>
              <c:strCache>
                <c:ptCount val="5"/>
                <c:pt idx="0">
                  <c:v> 2018 Actual </c:v>
                </c:pt>
                <c:pt idx="1">
                  <c:v> 2019 Actual </c:v>
                </c:pt>
                <c:pt idx="2">
                  <c:v> 2020 Actual </c:v>
                </c:pt>
                <c:pt idx="3">
                  <c:v> 2021 Actual </c:v>
                </c:pt>
                <c:pt idx="4">
                  <c:v> 2022 Prelim </c:v>
                </c:pt>
              </c:strCache>
            </c:strRef>
          </c:cat>
          <c:val>
            <c:numRef>
              <c:f>'2018 To 2022'!$Q$53:$U$53</c:f>
              <c:numCache>
                <c:formatCode>"$"#,##0_);\("$"#,##0\)</c:formatCode>
                <c:ptCount val="5"/>
                <c:pt idx="0">
                  <c:v>21.9375</c:v>
                </c:pt>
                <c:pt idx="1">
                  <c:v>24.709375000000001</c:v>
                </c:pt>
                <c:pt idx="2">
                  <c:v>32.772812500000008</c:v>
                </c:pt>
                <c:pt idx="3">
                  <c:v>32.280000000000008</c:v>
                </c:pt>
                <c:pt idx="4">
                  <c:v>32.280000000000008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129-47D9-AADB-5986A8BFE651}"/>
            </c:ext>
          </c:extLst>
        </c:ser>
        <c:ser>
          <c:idx val="4"/>
          <c:order val="6"/>
          <c:tx>
            <c:strRef>
              <c:f>'2018 To 2022'!$J$55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rgbClr val="0000FF"/>
            </a:solidFill>
            <a:ln>
              <a:solidFill>
                <a:srgbClr val="0000FF"/>
              </a:solidFill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'2018 To 2022'!$Q$49:$U$49</c:f>
              <c:strCache>
                <c:ptCount val="5"/>
                <c:pt idx="0">
                  <c:v> 2018 Actual </c:v>
                </c:pt>
                <c:pt idx="1">
                  <c:v> 2019 Actual </c:v>
                </c:pt>
                <c:pt idx="2">
                  <c:v> 2020 Actual </c:v>
                </c:pt>
                <c:pt idx="3">
                  <c:v> 2021 Actual </c:v>
                </c:pt>
                <c:pt idx="4">
                  <c:v> 2022 Prelim </c:v>
                </c:pt>
              </c:strCache>
            </c:strRef>
          </c:cat>
          <c:val>
            <c:numRef>
              <c:f>'2018 To 2022'!$Q$55:$U$55</c:f>
              <c:numCache>
                <c:formatCode>"$"#,##0_);\("$"#,##0\)</c:formatCode>
                <c:ptCount val="5"/>
                <c:pt idx="0">
                  <c:v>9.4468750000000004</c:v>
                </c:pt>
                <c:pt idx="1">
                  <c:v>18.224374999999998</c:v>
                </c:pt>
                <c:pt idx="2">
                  <c:v>15.573124999999999</c:v>
                </c:pt>
                <c:pt idx="3">
                  <c:v>1.5</c:v>
                </c:pt>
                <c:pt idx="4">
                  <c:v>38.849687500000002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129-47D9-AADB-5986A8BFE6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05297992"/>
        <c:axId val="405291328"/>
      </c:barChart>
      <c:lineChart>
        <c:grouping val="standard"/>
        <c:varyColors val="0"/>
        <c:ser>
          <c:idx val="5"/>
          <c:order val="0"/>
          <c:tx>
            <c:v>Dues</c:v>
          </c:tx>
          <c:spPr>
            <a:ln w="50800" cap="rnd">
              <a:solidFill>
                <a:srgbClr val="33CC33"/>
              </a:solidFill>
              <a:round/>
            </a:ln>
            <a:effectLst/>
          </c:spPr>
          <c:marker>
            <c:symbol val="none"/>
          </c:marker>
          <c:dPt>
            <c:idx val="2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6-F129-47D9-AADB-5986A8BFE651}"/>
              </c:ext>
            </c:extLst>
          </c:dPt>
          <c:cat>
            <c:strRef>
              <c:f>'2018 To 2022'!$Q$49:$U$49</c:f>
              <c:strCache>
                <c:ptCount val="5"/>
                <c:pt idx="0">
                  <c:v> 2018 Actual </c:v>
                </c:pt>
                <c:pt idx="1">
                  <c:v> 2019 Actual </c:v>
                </c:pt>
                <c:pt idx="2">
                  <c:v> 2020 Actual </c:v>
                </c:pt>
                <c:pt idx="3">
                  <c:v> 2021 Actual </c:v>
                </c:pt>
                <c:pt idx="4">
                  <c:v> 2022 Prelim </c:v>
                </c:pt>
              </c:strCache>
            </c:strRef>
          </c:cat>
          <c:val>
            <c:numRef>
              <c:f>'2018 To 2022'!$Q$57:$U$57</c:f>
              <c:numCache>
                <c:formatCode>"$"#,##0_);\("$"#,##0\)</c:formatCode>
                <c:ptCount val="5"/>
                <c:pt idx="0">
                  <c:v>375</c:v>
                </c:pt>
                <c:pt idx="1">
                  <c:v>375</c:v>
                </c:pt>
                <c:pt idx="2">
                  <c:v>430</c:v>
                </c:pt>
                <c:pt idx="3">
                  <c:v>430</c:v>
                </c:pt>
                <c:pt idx="4">
                  <c:v>430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F129-47D9-AADB-5986A8BFE6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5297992"/>
        <c:axId val="405291328"/>
      </c:lineChart>
      <c:catAx>
        <c:axId val="4052979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5291328"/>
        <c:crosses val="autoZero"/>
        <c:auto val="1"/>
        <c:lblAlgn val="ctr"/>
        <c:lblOffset val="100"/>
        <c:noMultiLvlLbl val="0"/>
      </c:catAx>
      <c:valAx>
        <c:axId val="4052913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_);\(&quot;$&quot;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5297992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1100" baseline="0"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ysClr val="windowText" lastClr="000000"/>
                </a:solidFill>
              </a:rPr>
              <a:t>PLE Income By Type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34838145231846"/>
          <c:y val="0.13816987908943748"/>
          <c:w val="0.84343213348331436"/>
          <c:h val="0.74585830018432797"/>
        </c:manualLayout>
      </c:layout>
      <c:areaChart>
        <c:grouping val="standard"/>
        <c:varyColors val="0"/>
        <c:ser>
          <c:idx val="1"/>
          <c:order val="0"/>
          <c:tx>
            <c:v>Mailbox Assessment $5.3K &amp; Chaffey Reimb $2.1K</c:v>
          </c:tx>
          <c:spPr>
            <a:solidFill>
              <a:srgbClr val="66FF33"/>
            </a:solidFill>
            <a:ln>
              <a:solidFill>
                <a:sysClr val="windowText" lastClr="000000"/>
              </a:solidFill>
            </a:ln>
            <a:effectLst/>
          </c:spPr>
          <c:cat>
            <c:strRef>
              <c:f>'PLE Financial History'!$A$4:$A$31</c:f>
              <c:strCache>
                <c:ptCount val="28"/>
                <c:pt idx="0">
                  <c:v>92-'95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</c:strCache>
            </c:strRef>
          </c:cat>
          <c:val>
            <c:numRef>
              <c:f>'PLE Financial History'!$G$4:$G$31</c:f>
              <c:numCache>
                <c:formatCode>"$"#,##0</c:formatCode>
                <c:ptCount val="28"/>
                <c:pt idx="0">
                  <c:v>4828</c:v>
                </c:pt>
                <c:pt idx="1">
                  <c:v>10428</c:v>
                </c:pt>
                <c:pt idx="2">
                  <c:v>6200</c:v>
                </c:pt>
                <c:pt idx="3">
                  <c:v>7659</c:v>
                </c:pt>
                <c:pt idx="4">
                  <c:v>8278.27</c:v>
                </c:pt>
                <c:pt idx="5">
                  <c:v>17215</c:v>
                </c:pt>
                <c:pt idx="6">
                  <c:v>9020.1</c:v>
                </c:pt>
                <c:pt idx="7">
                  <c:v>10225.92</c:v>
                </c:pt>
                <c:pt idx="8">
                  <c:v>11304.78</c:v>
                </c:pt>
                <c:pt idx="9">
                  <c:v>12128.08</c:v>
                </c:pt>
                <c:pt idx="10">
                  <c:v>12144.88</c:v>
                </c:pt>
                <c:pt idx="11">
                  <c:v>12156.56</c:v>
                </c:pt>
                <c:pt idx="12">
                  <c:v>12073.85</c:v>
                </c:pt>
                <c:pt idx="13">
                  <c:v>12220.83</c:v>
                </c:pt>
                <c:pt idx="14">
                  <c:v>11331.85</c:v>
                </c:pt>
                <c:pt idx="15">
                  <c:v>12015.41</c:v>
                </c:pt>
                <c:pt idx="16">
                  <c:v>12009.61</c:v>
                </c:pt>
                <c:pt idx="17">
                  <c:v>12005.76</c:v>
                </c:pt>
                <c:pt idx="18">
                  <c:v>11628</c:v>
                </c:pt>
                <c:pt idx="19">
                  <c:v>12004.17</c:v>
                </c:pt>
                <c:pt idx="20">
                  <c:v>10878.17</c:v>
                </c:pt>
                <c:pt idx="21">
                  <c:v>13500.04</c:v>
                </c:pt>
                <c:pt idx="22">
                  <c:v>11245</c:v>
                </c:pt>
                <c:pt idx="23">
                  <c:v>10500</c:v>
                </c:pt>
                <c:pt idx="24">
                  <c:v>13125</c:v>
                </c:pt>
                <c:pt idx="25">
                  <c:v>13760</c:v>
                </c:pt>
                <c:pt idx="26">
                  <c:v>13760</c:v>
                </c:pt>
                <c:pt idx="27">
                  <c:v>13760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85-4278-844C-71436C2F572A}"/>
            </c:ext>
          </c:extLst>
        </c:ser>
        <c:ser>
          <c:idx val="0"/>
          <c:order val="1"/>
          <c:tx>
            <c:v>Dues &amp; Interest</c:v>
          </c:tx>
          <c:spPr>
            <a:solidFill>
              <a:srgbClr val="009900"/>
            </a:solidFill>
            <a:ln>
              <a:solidFill>
                <a:sysClr val="windowText" lastClr="000000"/>
              </a:solidFill>
            </a:ln>
            <a:effectLst/>
          </c:spPr>
          <c:cat>
            <c:strRef>
              <c:f>'PLE Financial History'!$A$4:$A$31</c:f>
              <c:strCache>
                <c:ptCount val="28"/>
                <c:pt idx="0">
                  <c:v>92-'95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</c:strCache>
            </c:strRef>
          </c:cat>
          <c:val>
            <c:numRef>
              <c:f>'PLE Financial History'!$E$4:$E$31</c:f>
              <c:numCache>
                <c:formatCode>"$"#,##0</c:formatCode>
                <c:ptCount val="28"/>
                <c:pt idx="0">
                  <c:v>4828</c:v>
                </c:pt>
                <c:pt idx="1">
                  <c:v>10428</c:v>
                </c:pt>
                <c:pt idx="2">
                  <c:v>6200</c:v>
                </c:pt>
                <c:pt idx="3">
                  <c:v>7659</c:v>
                </c:pt>
                <c:pt idx="4">
                  <c:v>8278.27</c:v>
                </c:pt>
                <c:pt idx="5">
                  <c:v>9861</c:v>
                </c:pt>
                <c:pt idx="6">
                  <c:v>9020.1</c:v>
                </c:pt>
                <c:pt idx="7">
                  <c:v>10225.92</c:v>
                </c:pt>
                <c:pt idx="8">
                  <c:v>11304.78</c:v>
                </c:pt>
                <c:pt idx="9">
                  <c:v>12128.08</c:v>
                </c:pt>
                <c:pt idx="10">
                  <c:v>12144.88</c:v>
                </c:pt>
                <c:pt idx="11">
                  <c:v>12156.56</c:v>
                </c:pt>
                <c:pt idx="12">
                  <c:v>12073.85</c:v>
                </c:pt>
                <c:pt idx="13">
                  <c:v>12220.83</c:v>
                </c:pt>
                <c:pt idx="14">
                  <c:v>11331.85</c:v>
                </c:pt>
                <c:pt idx="15">
                  <c:v>12015.41</c:v>
                </c:pt>
                <c:pt idx="16">
                  <c:v>12009.61</c:v>
                </c:pt>
                <c:pt idx="17">
                  <c:v>12005.76</c:v>
                </c:pt>
                <c:pt idx="18">
                  <c:v>11628</c:v>
                </c:pt>
                <c:pt idx="19">
                  <c:v>12004.17</c:v>
                </c:pt>
                <c:pt idx="20">
                  <c:v>10878.17</c:v>
                </c:pt>
                <c:pt idx="21">
                  <c:v>13500.04</c:v>
                </c:pt>
                <c:pt idx="22">
                  <c:v>11245</c:v>
                </c:pt>
                <c:pt idx="23">
                  <c:v>10500</c:v>
                </c:pt>
                <c:pt idx="24">
                  <c:v>13125</c:v>
                </c:pt>
                <c:pt idx="25">
                  <c:v>13760</c:v>
                </c:pt>
                <c:pt idx="26">
                  <c:v>13760</c:v>
                </c:pt>
                <c:pt idx="27">
                  <c:v>13760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C85-4278-844C-71436C2F57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10541184"/>
        <c:axId val="410540792"/>
        <c:extLst>
          <c:ext xmlns:c15="http://schemas.microsoft.com/office/drawing/2012/chart" uri="{02D57815-91ED-43cb-92C2-25804820EDAC}">
            <c15:filteredAreaSeries>
              <c15:ser>
                <c:idx val="2"/>
                <c:order val="2"/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cat>
                  <c:strRef>
                    <c:extLst>
                      <c:ext uri="{02D57815-91ED-43cb-92C2-25804820EDAC}">
                        <c15:formulaRef>
                          <c15:sqref>'PLE Financial History'!$A$4:$A$31</c15:sqref>
                        </c15:formulaRef>
                      </c:ext>
                    </c:extLst>
                    <c:strCache>
                      <c:ptCount val="28"/>
                      <c:pt idx="0">
                        <c:v>92-'95</c:v>
                      </c:pt>
                      <c:pt idx="1">
                        <c:v>1996</c:v>
                      </c:pt>
                      <c:pt idx="2">
                        <c:v>1997</c:v>
                      </c:pt>
                      <c:pt idx="3">
                        <c:v>1998</c:v>
                      </c:pt>
                      <c:pt idx="4">
                        <c:v>1999</c:v>
                      </c:pt>
                      <c:pt idx="5">
                        <c:v>2000</c:v>
                      </c:pt>
                      <c:pt idx="6">
                        <c:v>2001</c:v>
                      </c:pt>
                      <c:pt idx="7">
                        <c:v>2002</c:v>
                      </c:pt>
                      <c:pt idx="8">
                        <c:v>2003</c:v>
                      </c:pt>
                      <c:pt idx="9">
                        <c:v>2004</c:v>
                      </c:pt>
                      <c:pt idx="10">
                        <c:v>2005</c:v>
                      </c:pt>
                      <c:pt idx="11">
                        <c:v>2006</c:v>
                      </c:pt>
                      <c:pt idx="12">
                        <c:v>2007</c:v>
                      </c:pt>
                      <c:pt idx="13">
                        <c:v>2008</c:v>
                      </c:pt>
                      <c:pt idx="14">
                        <c:v>2009</c:v>
                      </c:pt>
                      <c:pt idx="15">
                        <c:v>2010</c:v>
                      </c:pt>
                      <c:pt idx="16">
                        <c:v>2011</c:v>
                      </c:pt>
                      <c:pt idx="17">
                        <c:v>2012</c:v>
                      </c:pt>
                      <c:pt idx="18">
                        <c:v>2013</c:v>
                      </c:pt>
                      <c:pt idx="19">
                        <c:v>2014</c:v>
                      </c:pt>
                      <c:pt idx="20">
                        <c:v>2015</c:v>
                      </c:pt>
                      <c:pt idx="21">
                        <c:v>2016</c:v>
                      </c:pt>
                      <c:pt idx="22">
                        <c:v>2017</c:v>
                      </c:pt>
                      <c:pt idx="23">
                        <c:v>2018</c:v>
                      </c:pt>
                      <c:pt idx="24">
                        <c:v>2019</c:v>
                      </c:pt>
                      <c:pt idx="25">
                        <c:v>2020</c:v>
                      </c:pt>
                      <c:pt idx="26">
                        <c:v>2021</c:v>
                      </c:pt>
                      <c:pt idx="27">
                        <c:v>2022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'PLE Financial History'!$G$4:$G$28</c15:sqref>
                        </c15:formulaRef>
                      </c:ext>
                    </c:extLst>
                    <c:numCache>
                      <c:formatCode>"$"#,##0</c:formatCode>
                      <c:ptCount val="25"/>
                      <c:pt idx="0">
                        <c:v>4828</c:v>
                      </c:pt>
                      <c:pt idx="1">
                        <c:v>10428</c:v>
                      </c:pt>
                      <c:pt idx="2">
                        <c:v>6200</c:v>
                      </c:pt>
                      <c:pt idx="3">
                        <c:v>7659</c:v>
                      </c:pt>
                      <c:pt idx="4">
                        <c:v>8278.27</c:v>
                      </c:pt>
                      <c:pt idx="5">
                        <c:v>17215</c:v>
                      </c:pt>
                      <c:pt idx="6">
                        <c:v>9020.1</c:v>
                      </c:pt>
                      <c:pt idx="7">
                        <c:v>10225.92</c:v>
                      </c:pt>
                      <c:pt idx="8">
                        <c:v>11304.78</c:v>
                      </c:pt>
                      <c:pt idx="9">
                        <c:v>12128.08</c:v>
                      </c:pt>
                      <c:pt idx="10">
                        <c:v>12144.88</c:v>
                      </c:pt>
                      <c:pt idx="11">
                        <c:v>12156.56</c:v>
                      </c:pt>
                      <c:pt idx="12">
                        <c:v>12073.85</c:v>
                      </c:pt>
                      <c:pt idx="13">
                        <c:v>12220.83</c:v>
                      </c:pt>
                      <c:pt idx="14">
                        <c:v>11331.85</c:v>
                      </c:pt>
                      <c:pt idx="15">
                        <c:v>12015.41</c:v>
                      </c:pt>
                      <c:pt idx="16">
                        <c:v>12009.61</c:v>
                      </c:pt>
                      <c:pt idx="17">
                        <c:v>12005.76</c:v>
                      </c:pt>
                      <c:pt idx="18">
                        <c:v>11628</c:v>
                      </c:pt>
                      <c:pt idx="19">
                        <c:v>12004.17</c:v>
                      </c:pt>
                      <c:pt idx="20">
                        <c:v>10878.17</c:v>
                      </c:pt>
                      <c:pt idx="21">
                        <c:v>13500.04</c:v>
                      </c:pt>
                      <c:pt idx="22">
                        <c:v>11245</c:v>
                      </c:pt>
                      <c:pt idx="23">
                        <c:v>10500</c:v>
                      </c:pt>
                      <c:pt idx="24">
                        <c:v>13125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FC85-4278-844C-71436C2F572A}"/>
                  </c:ext>
                </c:extLst>
              </c15:ser>
            </c15:filteredAreaSeries>
            <c15:filteredAreaSeries>
              <c15:ser>
                <c:idx val="3"/>
                <c:order val="3"/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'PLE Financial History'!$A$4:$A$31</c15:sqref>
                        </c15:formulaRef>
                      </c:ext>
                    </c:extLst>
                    <c:strCache>
                      <c:ptCount val="28"/>
                      <c:pt idx="0">
                        <c:v>92-'95</c:v>
                      </c:pt>
                      <c:pt idx="1">
                        <c:v>1996</c:v>
                      </c:pt>
                      <c:pt idx="2">
                        <c:v>1997</c:v>
                      </c:pt>
                      <c:pt idx="3">
                        <c:v>1998</c:v>
                      </c:pt>
                      <c:pt idx="4">
                        <c:v>1999</c:v>
                      </c:pt>
                      <c:pt idx="5">
                        <c:v>2000</c:v>
                      </c:pt>
                      <c:pt idx="6">
                        <c:v>2001</c:v>
                      </c:pt>
                      <c:pt idx="7">
                        <c:v>2002</c:v>
                      </c:pt>
                      <c:pt idx="8">
                        <c:v>2003</c:v>
                      </c:pt>
                      <c:pt idx="9">
                        <c:v>2004</c:v>
                      </c:pt>
                      <c:pt idx="10">
                        <c:v>2005</c:v>
                      </c:pt>
                      <c:pt idx="11">
                        <c:v>2006</c:v>
                      </c:pt>
                      <c:pt idx="12">
                        <c:v>2007</c:v>
                      </c:pt>
                      <c:pt idx="13">
                        <c:v>2008</c:v>
                      </c:pt>
                      <c:pt idx="14">
                        <c:v>2009</c:v>
                      </c:pt>
                      <c:pt idx="15">
                        <c:v>2010</c:v>
                      </c:pt>
                      <c:pt idx="16">
                        <c:v>2011</c:v>
                      </c:pt>
                      <c:pt idx="17">
                        <c:v>2012</c:v>
                      </c:pt>
                      <c:pt idx="18">
                        <c:v>2013</c:v>
                      </c:pt>
                      <c:pt idx="19">
                        <c:v>2014</c:v>
                      </c:pt>
                      <c:pt idx="20">
                        <c:v>2015</c:v>
                      </c:pt>
                      <c:pt idx="21">
                        <c:v>2016</c:v>
                      </c:pt>
                      <c:pt idx="22">
                        <c:v>2017</c:v>
                      </c:pt>
                      <c:pt idx="23">
                        <c:v>2018</c:v>
                      </c:pt>
                      <c:pt idx="24">
                        <c:v>2019</c:v>
                      </c:pt>
                      <c:pt idx="25">
                        <c:v>2020</c:v>
                      </c:pt>
                      <c:pt idx="26">
                        <c:v>2021</c:v>
                      </c:pt>
                      <c:pt idx="27">
                        <c:v>2022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'PLE Financial History'!$H$4:$H$28</c15:sqref>
                        </c15:formulaRef>
                      </c:ext>
                    </c:extLst>
                    <c:numCache>
                      <c:formatCode>"$"#,##0</c:formatCode>
                      <c:ptCount val="25"/>
                      <c:pt idx="0">
                        <c:v>579</c:v>
                      </c:pt>
                      <c:pt idx="1">
                        <c:v>7732.0299999999988</c:v>
                      </c:pt>
                      <c:pt idx="2">
                        <c:v>5942.74</c:v>
                      </c:pt>
                      <c:pt idx="3">
                        <c:v>6253.3700000000008</c:v>
                      </c:pt>
                      <c:pt idx="4">
                        <c:v>4922.32</c:v>
                      </c:pt>
                      <c:pt idx="5">
                        <c:v>5429.8899999999994</c:v>
                      </c:pt>
                      <c:pt idx="6">
                        <c:v>5982.6399999999994</c:v>
                      </c:pt>
                      <c:pt idx="7">
                        <c:v>5593.590000000002</c:v>
                      </c:pt>
                      <c:pt idx="8">
                        <c:v>6603.42</c:v>
                      </c:pt>
                      <c:pt idx="9">
                        <c:v>6941.76</c:v>
                      </c:pt>
                      <c:pt idx="10">
                        <c:v>6949.7199999999993</c:v>
                      </c:pt>
                      <c:pt idx="11">
                        <c:v>6936.0699999999979</c:v>
                      </c:pt>
                      <c:pt idx="12">
                        <c:v>8509.0300000000007</c:v>
                      </c:pt>
                      <c:pt idx="13">
                        <c:v>8886.69</c:v>
                      </c:pt>
                      <c:pt idx="14">
                        <c:v>8137.2000000000007</c:v>
                      </c:pt>
                      <c:pt idx="15">
                        <c:v>8990.42</c:v>
                      </c:pt>
                      <c:pt idx="16">
                        <c:v>8960.630000000001</c:v>
                      </c:pt>
                      <c:pt idx="17">
                        <c:v>7775.1999999999989</c:v>
                      </c:pt>
                      <c:pt idx="18">
                        <c:v>8052.43</c:v>
                      </c:pt>
                      <c:pt idx="19">
                        <c:v>8510.6999999999989</c:v>
                      </c:pt>
                      <c:pt idx="20">
                        <c:v>7729.35</c:v>
                      </c:pt>
                      <c:pt idx="21">
                        <c:v>8294.98</c:v>
                      </c:pt>
                      <c:pt idx="22">
                        <c:v>7868.0000000000036</c:v>
                      </c:pt>
                      <c:pt idx="23">
                        <c:v>10286.029999999999</c:v>
                      </c:pt>
                      <c:pt idx="24">
                        <c:v>11332.160000000003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FC85-4278-844C-71436C2F572A}"/>
                  </c:ext>
                </c:extLst>
              </c15:ser>
            </c15:filteredAreaSeries>
            <c15:filteredAreaSeries>
              <c15:ser>
                <c:idx val="4"/>
                <c:order val="4"/>
                <c:spPr>
                  <a:solidFill>
                    <a:schemeClr val="accent5"/>
                  </a:solidFill>
                  <a:ln>
                    <a:noFill/>
                  </a:ln>
                  <a:effectLst/>
                </c:spP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'PLE Financial History'!$A$4:$A$31</c15:sqref>
                        </c15:formulaRef>
                      </c:ext>
                    </c:extLst>
                    <c:strCache>
                      <c:ptCount val="28"/>
                      <c:pt idx="0">
                        <c:v>92-'95</c:v>
                      </c:pt>
                      <c:pt idx="1">
                        <c:v>1996</c:v>
                      </c:pt>
                      <c:pt idx="2">
                        <c:v>1997</c:v>
                      </c:pt>
                      <c:pt idx="3">
                        <c:v>1998</c:v>
                      </c:pt>
                      <c:pt idx="4">
                        <c:v>1999</c:v>
                      </c:pt>
                      <c:pt idx="5">
                        <c:v>2000</c:v>
                      </c:pt>
                      <c:pt idx="6">
                        <c:v>2001</c:v>
                      </c:pt>
                      <c:pt idx="7">
                        <c:v>2002</c:v>
                      </c:pt>
                      <c:pt idx="8">
                        <c:v>2003</c:v>
                      </c:pt>
                      <c:pt idx="9">
                        <c:v>2004</c:v>
                      </c:pt>
                      <c:pt idx="10">
                        <c:v>2005</c:v>
                      </c:pt>
                      <c:pt idx="11">
                        <c:v>2006</c:v>
                      </c:pt>
                      <c:pt idx="12">
                        <c:v>2007</c:v>
                      </c:pt>
                      <c:pt idx="13">
                        <c:v>2008</c:v>
                      </c:pt>
                      <c:pt idx="14">
                        <c:v>2009</c:v>
                      </c:pt>
                      <c:pt idx="15">
                        <c:v>2010</c:v>
                      </c:pt>
                      <c:pt idx="16">
                        <c:v>2011</c:v>
                      </c:pt>
                      <c:pt idx="17">
                        <c:v>2012</c:v>
                      </c:pt>
                      <c:pt idx="18">
                        <c:v>2013</c:v>
                      </c:pt>
                      <c:pt idx="19">
                        <c:v>2014</c:v>
                      </c:pt>
                      <c:pt idx="20">
                        <c:v>2015</c:v>
                      </c:pt>
                      <c:pt idx="21">
                        <c:v>2016</c:v>
                      </c:pt>
                      <c:pt idx="22">
                        <c:v>2017</c:v>
                      </c:pt>
                      <c:pt idx="23">
                        <c:v>2018</c:v>
                      </c:pt>
                      <c:pt idx="24">
                        <c:v>2019</c:v>
                      </c:pt>
                      <c:pt idx="25">
                        <c:v>2020</c:v>
                      </c:pt>
                      <c:pt idx="26">
                        <c:v>2021</c:v>
                      </c:pt>
                      <c:pt idx="27">
                        <c:v>2022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'PLE Financial History'!$I$4:$I$28</c15:sqref>
                        </c15:formulaRef>
                      </c:ext>
                    </c:extLst>
                    <c:numCache>
                      <c:formatCode>"$"#,##0</c:formatCode>
                      <c:ptCount val="25"/>
                      <c:pt idx="0">
                        <c:v>0</c:v>
                      </c:pt>
                      <c:pt idx="1">
                        <c:v>963</c:v>
                      </c:pt>
                      <c:pt idx="2">
                        <c:v>891</c:v>
                      </c:pt>
                      <c:pt idx="3">
                        <c:v>320</c:v>
                      </c:pt>
                      <c:pt idx="4">
                        <c:v>4205</c:v>
                      </c:pt>
                      <c:pt idx="5">
                        <c:v>8423</c:v>
                      </c:pt>
                      <c:pt idx="6">
                        <c:v>1785</c:v>
                      </c:pt>
                      <c:pt idx="7">
                        <c:v>2367</c:v>
                      </c:pt>
                      <c:pt idx="8">
                        <c:v>1585</c:v>
                      </c:pt>
                      <c:pt idx="9">
                        <c:v>265</c:v>
                      </c:pt>
                      <c:pt idx="10">
                        <c:v>3950</c:v>
                      </c:pt>
                      <c:pt idx="11">
                        <c:v>6000</c:v>
                      </c:pt>
                      <c:pt idx="12">
                        <c:v>0</c:v>
                      </c:pt>
                      <c:pt idx="13">
                        <c:v>5332</c:v>
                      </c:pt>
                      <c:pt idx="14">
                        <c:v>9886</c:v>
                      </c:pt>
                      <c:pt idx="15">
                        <c:v>2435</c:v>
                      </c:pt>
                      <c:pt idx="16">
                        <c:v>0</c:v>
                      </c:pt>
                      <c:pt idx="17">
                        <c:v>175</c:v>
                      </c:pt>
                      <c:pt idx="18">
                        <c:v>367</c:v>
                      </c:pt>
                      <c:pt idx="19">
                        <c:v>1947</c:v>
                      </c:pt>
                      <c:pt idx="20">
                        <c:v>6110</c:v>
                      </c:pt>
                      <c:pt idx="21">
                        <c:v>10754</c:v>
                      </c:pt>
                      <c:pt idx="22">
                        <c:v>0</c:v>
                      </c:pt>
                      <c:pt idx="23">
                        <c:v>0</c:v>
                      </c:pt>
                      <c:pt idx="24">
                        <c:v>8157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FC85-4278-844C-71436C2F572A}"/>
                  </c:ext>
                </c:extLst>
              </c15:ser>
            </c15:filteredAreaSeries>
            <c15:filteredAreaSeries>
              <c15:ser>
                <c:idx val="5"/>
                <c:order val="5"/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'PLE Financial History'!$A$4:$A$31</c15:sqref>
                        </c15:formulaRef>
                      </c:ext>
                    </c:extLst>
                    <c:strCache>
                      <c:ptCount val="28"/>
                      <c:pt idx="0">
                        <c:v>92-'95</c:v>
                      </c:pt>
                      <c:pt idx="1">
                        <c:v>1996</c:v>
                      </c:pt>
                      <c:pt idx="2">
                        <c:v>1997</c:v>
                      </c:pt>
                      <c:pt idx="3">
                        <c:v>1998</c:v>
                      </c:pt>
                      <c:pt idx="4">
                        <c:v>1999</c:v>
                      </c:pt>
                      <c:pt idx="5">
                        <c:v>2000</c:v>
                      </c:pt>
                      <c:pt idx="6">
                        <c:v>2001</c:v>
                      </c:pt>
                      <c:pt idx="7">
                        <c:v>2002</c:v>
                      </c:pt>
                      <c:pt idx="8">
                        <c:v>2003</c:v>
                      </c:pt>
                      <c:pt idx="9">
                        <c:v>2004</c:v>
                      </c:pt>
                      <c:pt idx="10">
                        <c:v>2005</c:v>
                      </c:pt>
                      <c:pt idx="11">
                        <c:v>2006</c:v>
                      </c:pt>
                      <c:pt idx="12">
                        <c:v>2007</c:v>
                      </c:pt>
                      <c:pt idx="13">
                        <c:v>2008</c:v>
                      </c:pt>
                      <c:pt idx="14">
                        <c:v>2009</c:v>
                      </c:pt>
                      <c:pt idx="15">
                        <c:v>2010</c:v>
                      </c:pt>
                      <c:pt idx="16">
                        <c:v>2011</c:v>
                      </c:pt>
                      <c:pt idx="17">
                        <c:v>2012</c:v>
                      </c:pt>
                      <c:pt idx="18">
                        <c:v>2013</c:v>
                      </c:pt>
                      <c:pt idx="19">
                        <c:v>2014</c:v>
                      </c:pt>
                      <c:pt idx="20">
                        <c:v>2015</c:v>
                      </c:pt>
                      <c:pt idx="21">
                        <c:v>2016</c:v>
                      </c:pt>
                      <c:pt idx="22">
                        <c:v>2017</c:v>
                      </c:pt>
                      <c:pt idx="23">
                        <c:v>2018</c:v>
                      </c:pt>
                      <c:pt idx="24">
                        <c:v>2019</c:v>
                      </c:pt>
                      <c:pt idx="25">
                        <c:v>2020</c:v>
                      </c:pt>
                      <c:pt idx="26">
                        <c:v>2021</c:v>
                      </c:pt>
                      <c:pt idx="27">
                        <c:v>2022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'PLE Financial History'!$J$4:$J$28</c15:sqref>
                        </c15:formulaRef>
                      </c:ext>
                    </c:extLst>
                    <c:numCache>
                      <c:formatCode>"$"#,##0</c:formatCode>
                      <c:ptCount val="25"/>
                      <c:pt idx="0">
                        <c:v>579</c:v>
                      </c:pt>
                      <c:pt idx="1">
                        <c:v>8695.0299999999988</c:v>
                      </c:pt>
                      <c:pt idx="2">
                        <c:v>6833.74</c:v>
                      </c:pt>
                      <c:pt idx="3">
                        <c:v>6573.3700000000008</c:v>
                      </c:pt>
                      <c:pt idx="4">
                        <c:v>9127.32</c:v>
                      </c:pt>
                      <c:pt idx="5">
                        <c:v>13852.89</c:v>
                      </c:pt>
                      <c:pt idx="6">
                        <c:v>7767.6399999999994</c:v>
                      </c:pt>
                      <c:pt idx="7">
                        <c:v>7960.590000000002</c:v>
                      </c:pt>
                      <c:pt idx="8">
                        <c:v>8188.42</c:v>
                      </c:pt>
                      <c:pt idx="9">
                        <c:v>7206.76</c:v>
                      </c:pt>
                      <c:pt idx="10">
                        <c:v>10899.72</c:v>
                      </c:pt>
                      <c:pt idx="11">
                        <c:v>12936.069999999998</c:v>
                      </c:pt>
                      <c:pt idx="12">
                        <c:v>8509.0300000000007</c:v>
                      </c:pt>
                      <c:pt idx="13">
                        <c:v>14218.69</c:v>
                      </c:pt>
                      <c:pt idx="14">
                        <c:v>18023.2</c:v>
                      </c:pt>
                      <c:pt idx="15">
                        <c:v>11425.42</c:v>
                      </c:pt>
                      <c:pt idx="16">
                        <c:v>8960.630000000001</c:v>
                      </c:pt>
                      <c:pt idx="17">
                        <c:v>7950.1999999999989</c:v>
                      </c:pt>
                      <c:pt idx="18">
                        <c:v>8419.43</c:v>
                      </c:pt>
                      <c:pt idx="19">
                        <c:v>10457.699999999999</c:v>
                      </c:pt>
                      <c:pt idx="20">
                        <c:v>13839.35</c:v>
                      </c:pt>
                      <c:pt idx="21">
                        <c:v>19048.98</c:v>
                      </c:pt>
                      <c:pt idx="22">
                        <c:v>7868.0000000000036</c:v>
                      </c:pt>
                      <c:pt idx="23">
                        <c:v>10286.029999999999</c:v>
                      </c:pt>
                      <c:pt idx="24">
                        <c:v>19489.160000000003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FC85-4278-844C-71436C2F572A}"/>
                  </c:ext>
                </c:extLst>
              </c15:ser>
            </c15:filteredAreaSeries>
            <c15:filteredAreaSeries>
              <c15:ser>
                <c:idx val="6"/>
                <c:order val="6"/>
                <c:spPr>
                  <a:solidFill>
                    <a:schemeClr val="accent1">
                      <a:lumMod val="60000"/>
                    </a:schemeClr>
                  </a:solidFill>
                  <a:ln>
                    <a:noFill/>
                  </a:ln>
                  <a:effectLst/>
                </c:spP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'PLE Financial History'!$A$4:$A$31</c15:sqref>
                        </c15:formulaRef>
                      </c:ext>
                    </c:extLst>
                    <c:strCache>
                      <c:ptCount val="28"/>
                      <c:pt idx="0">
                        <c:v>92-'95</c:v>
                      </c:pt>
                      <c:pt idx="1">
                        <c:v>1996</c:v>
                      </c:pt>
                      <c:pt idx="2">
                        <c:v>1997</c:v>
                      </c:pt>
                      <c:pt idx="3">
                        <c:v>1998</c:v>
                      </c:pt>
                      <c:pt idx="4">
                        <c:v>1999</c:v>
                      </c:pt>
                      <c:pt idx="5">
                        <c:v>2000</c:v>
                      </c:pt>
                      <c:pt idx="6">
                        <c:v>2001</c:v>
                      </c:pt>
                      <c:pt idx="7">
                        <c:v>2002</c:v>
                      </c:pt>
                      <c:pt idx="8">
                        <c:v>2003</c:v>
                      </c:pt>
                      <c:pt idx="9">
                        <c:v>2004</c:v>
                      </c:pt>
                      <c:pt idx="10">
                        <c:v>2005</c:v>
                      </c:pt>
                      <c:pt idx="11">
                        <c:v>2006</c:v>
                      </c:pt>
                      <c:pt idx="12">
                        <c:v>2007</c:v>
                      </c:pt>
                      <c:pt idx="13">
                        <c:v>2008</c:v>
                      </c:pt>
                      <c:pt idx="14">
                        <c:v>2009</c:v>
                      </c:pt>
                      <c:pt idx="15">
                        <c:v>2010</c:v>
                      </c:pt>
                      <c:pt idx="16">
                        <c:v>2011</c:v>
                      </c:pt>
                      <c:pt idx="17">
                        <c:v>2012</c:v>
                      </c:pt>
                      <c:pt idx="18">
                        <c:v>2013</c:v>
                      </c:pt>
                      <c:pt idx="19">
                        <c:v>2014</c:v>
                      </c:pt>
                      <c:pt idx="20">
                        <c:v>2015</c:v>
                      </c:pt>
                      <c:pt idx="21">
                        <c:v>2016</c:v>
                      </c:pt>
                      <c:pt idx="22">
                        <c:v>2017</c:v>
                      </c:pt>
                      <c:pt idx="23">
                        <c:v>2018</c:v>
                      </c:pt>
                      <c:pt idx="24">
                        <c:v>2019</c:v>
                      </c:pt>
                      <c:pt idx="25">
                        <c:v>2020</c:v>
                      </c:pt>
                      <c:pt idx="26">
                        <c:v>2021</c:v>
                      </c:pt>
                      <c:pt idx="27">
                        <c:v>2022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'PLE Financial History'!$K$4:$K$28</c15:sqref>
                        </c15:formulaRef>
                      </c:ext>
                    </c:extLst>
                    <c:numCache>
                      <c:formatCode>"$"#,##0</c:formatCode>
                      <c:ptCount val="25"/>
                      <c:pt idx="0">
                        <c:v>4249</c:v>
                      </c:pt>
                      <c:pt idx="1">
                        <c:v>5981.97</c:v>
                      </c:pt>
                      <c:pt idx="2">
                        <c:v>5348.2300000000005</c:v>
                      </c:pt>
                      <c:pt idx="3">
                        <c:v>6433.86</c:v>
                      </c:pt>
                      <c:pt idx="4">
                        <c:v>5584.81</c:v>
                      </c:pt>
                      <c:pt idx="5">
                        <c:v>8946.92</c:v>
                      </c:pt>
                      <c:pt idx="6">
                        <c:v>10199.380000000001</c:v>
                      </c:pt>
                      <c:pt idx="7">
                        <c:v>12464.71</c:v>
                      </c:pt>
                      <c:pt idx="8">
                        <c:v>15581.07</c:v>
                      </c:pt>
                      <c:pt idx="9">
                        <c:v>20502.39</c:v>
                      </c:pt>
                      <c:pt idx="10">
                        <c:v>21747.55</c:v>
                      </c:pt>
                      <c:pt idx="11">
                        <c:v>20968.04</c:v>
                      </c:pt>
                      <c:pt idx="12">
                        <c:v>24532.86</c:v>
                      </c:pt>
                      <c:pt idx="13">
                        <c:v>22535</c:v>
                      </c:pt>
                      <c:pt idx="14">
                        <c:v>15843.65</c:v>
                      </c:pt>
                      <c:pt idx="15">
                        <c:v>16433.64</c:v>
                      </c:pt>
                      <c:pt idx="16">
                        <c:v>19482.62</c:v>
                      </c:pt>
                      <c:pt idx="17">
                        <c:v>23538.18</c:v>
                      </c:pt>
                      <c:pt idx="18">
                        <c:v>26746.75</c:v>
                      </c:pt>
                      <c:pt idx="19">
                        <c:v>28293.22</c:v>
                      </c:pt>
                      <c:pt idx="20">
                        <c:v>25332.04</c:v>
                      </c:pt>
                      <c:pt idx="21">
                        <c:v>19783.100000000002</c:v>
                      </c:pt>
                      <c:pt idx="22">
                        <c:v>23160.1</c:v>
                      </c:pt>
                      <c:pt idx="23">
                        <c:v>23374.07</c:v>
                      </c:pt>
                      <c:pt idx="24">
                        <c:v>17009.909999999996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FC85-4278-844C-71436C2F572A}"/>
                  </c:ext>
                </c:extLst>
              </c15:ser>
            </c15:filteredAreaSeries>
          </c:ext>
        </c:extLst>
      </c:areaChart>
      <c:catAx>
        <c:axId val="4105411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0540792"/>
        <c:crosses val="autoZero"/>
        <c:auto val="1"/>
        <c:lblAlgn val="ctr"/>
        <c:lblOffset val="100"/>
        <c:noMultiLvlLbl val="0"/>
      </c:catAx>
      <c:valAx>
        <c:axId val="410540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054118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4669122609673791"/>
          <c:y val="0.61922153011253545"/>
          <c:w val="0.65553655793025867"/>
          <c:h val="0.19868319966178338"/>
        </c:manualLayout>
      </c:layout>
      <c:overlay val="0"/>
      <c:spPr>
        <a:solidFill>
          <a:sysClr val="window" lastClr="FFFFFF"/>
        </a:solidFill>
        <a:ln>
          <a:solidFill>
            <a:sysClr val="windowText" lastClr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ysClr val="windowText" lastClr="000000"/>
                </a:solidFill>
              </a:rPr>
              <a:t>PLE Expense By</a:t>
            </a:r>
            <a:r>
              <a:rPr lang="en-US" baseline="0">
                <a:solidFill>
                  <a:sysClr val="windowText" lastClr="000000"/>
                </a:solidFill>
              </a:rPr>
              <a:t> Type</a:t>
            </a:r>
            <a:endParaRPr lang="en-US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34838145231846"/>
          <c:y val="0.17171296296296296"/>
          <c:w val="0.79343219597550307"/>
          <c:h val="0.66535505978419363"/>
        </c:manualLayout>
      </c:layout>
      <c:areaChart>
        <c:grouping val="standard"/>
        <c:varyColors val="0"/>
        <c:ser>
          <c:idx val="3"/>
          <c:order val="2"/>
          <c:tx>
            <c:v>Non-Routine</c:v>
          </c:tx>
          <c:spPr>
            <a:solidFill>
              <a:schemeClr val="accent4"/>
            </a:solidFill>
            <a:ln>
              <a:noFill/>
            </a:ln>
            <a:effectLst/>
          </c:spPr>
          <c:cat>
            <c:strRef>
              <c:f>'PLE Financial History'!$A$4:$A$31</c:f>
              <c:strCache>
                <c:ptCount val="28"/>
                <c:pt idx="0">
                  <c:v>92-'95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</c:strCache>
            </c:strRef>
          </c:cat>
          <c:val>
            <c:numRef>
              <c:f>'PLE Financial History'!$J$4:$J$31</c:f>
              <c:numCache>
                <c:formatCode>"$"#,##0</c:formatCode>
                <c:ptCount val="28"/>
                <c:pt idx="0">
                  <c:v>579</c:v>
                </c:pt>
                <c:pt idx="1">
                  <c:v>8695.0299999999988</c:v>
                </c:pt>
                <c:pt idx="2">
                  <c:v>6833.74</c:v>
                </c:pt>
                <c:pt idx="3">
                  <c:v>6573.3700000000008</c:v>
                </c:pt>
                <c:pt idx="4">
                  <c:v>9127.32</c:v>
                </c:pt>
                <c:pt idx="5">
                  <c:v>13852.89</c:v>
                </c:pt>
                <c:pt idx="6">
                  <c:v>7767.6399999999994</c:v>
                </c:pt>
                <c:pt idx="7">
                  <c:v>7960.590000000002</c:v>
                </c:pt>
                <c:pt idx="8">
                  <c:v>8188.42</c:v>
                </c:pt>
                <c:pt idx="9">
                  <c:v>7206.76</c:v>
                </c:pt>
                <c:pt idx="10">
                  <c:v>10899.72</c:v>
                </c:pt>
                <c:pt idx="11">
                  <c:v>12936.069999999998</c:v>
                </c:pt>
                <c:pt idx="12">
                  <c:v>8509.0300000000007</c:v>
                </c:pt>
                <c:pt idx="13">
                  <c:v>14218.69</c:v>
                </c:pt>
                <c:pt idx="14">
                  <c:v>18023.2</c:v>
                </c:pt>
                <c:pt idx="15">
                  <c:v>11425.42</c:v>
                </c:pt>
                <c:pt idx="16">
                  <c:v>8960.630000000001</c:v>
                </c:pt>
                <c:pt idx="17">
                  <c:v>7950.1999999999989</c:v>
                </c:pt>
                <c:pt idx="18">
                  <c:v>8419.43</c:v>
                </c:pt>
                <c:pt idx="19">
                  <c:v>10457.699999999999</c:v>
                </c:pt>
                <c:pt idx="20">
                  <c:v>13839.35</c:v>
                </c:pt>
                <c:pt idx="21">
                  <c:v>19048.98</c:v>
                </c:pt>
                <c:pt idx="22">
                  <c:v>7868.0000000000036</c:v>
                </c:pt>
                <c:pt idx="23">
                  <c:v>10286.029999999999</c:v>
                </c:pt>
                <c:pt idx="24">
                  <c:v>19489.160000000003</c:v>
                </c:pt>
                <c:pt idx="25">
                  <c:v>13021.869999999999</c:v>
                </c:pt>
                <c:pt idx="26">
                  <c:v>8801.89</c:v>
                </c:pt>
                <c:pt idx="27">
                  <c:v>12158.980000000007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EE-46B6-9238-5B4214A6836D}"/>
            </c:ext>
          </c:extLst>
        </c:ser>
        <c:ser>
          <c:idx val="2"/>
          <c:order val="3"/>
          <c:tx>
            <c:v>Routine</c:v>
          </c:tx>
          <c:spPr>
            <a:solidFill>
              <a:schemeClr val="accent4">
                <a:lumMod val="50000"/>
              </a:schemeClr>
            </a:solidFill>
            <a:ln>
              <a:solidFill>
                <a:schemeClr val="tx1"/>
              </a:solidFill>
            </a:ln>
            <a:effectLst/>
          </c:spPr>
          <c:cat>
            <c:strRef>
              <c:f>'PLE Financial History'!$A$4:$A$31</c:f>
              <c:strCache>
                <c:ptCount val="28"/>
                <c:pt idx="0">
                  <c:v>92-'95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</c:strCache>
            </c:strRef>
          </c:cat>
          <c:val>
            <c:numRef>
              <c:f>'PLE Financial History'!$H$4:$H$31</c:f>
              <c:numCache>
                <c:formatCode>"$"#,##0</c:formatCode>
                <c:ptCount val="28"/>
                <c:pt idx="0">
                  <c:v>579</c:v>
                </c:pt>
                <c:pt idx="1">
                  <c:v>7732.0299999999988</c:v>
                </c:pt>
                <c:pt idx="2">
                  <c:v>5942.74</c:v>
                </c:pt>
                <c:pt idx="3">
                  <c:v>6253.3700000000008</c:v>
                </c:pt>
                <c:pt idx="4">
                  <c:v>4922.32</c:v>
                </c:pt>
                <c:pt idx="5">
                  <c:v>5429.8899999999994</c:v>
                </c:pt>
                <c:pt idx="6">
                  <c:v>5982.6399999999994</c:v>
                </c:pt>
                <c:pt idx="7">
                  <c:v>5593.590000000002</c:v>
                </c:pt>
                <c:pt idx="8">
                  <c:v>6603.42</c:v>
                </c:pt>
                <c:pt idx="9">
                  <c:v>6941.76</c:v>
                </c:pt>
                <c:pt idx="10">
                  <c:v>6949.7199999999993</c:v>
                </c:pt>
                <c:pt idx="11">
                  <c:v>6936.0699999999979</c:v>
                </c:pt>
                <c:pt idx="12">
                  <c:v>8509.0300000000007</c:v>
                </c:pt>
                <c:pt idx="13">
                  <c:v>8886.69</c:v>
                </c:pt>
                <c:pt idx="14">
                  <c:v>8137.2000000000007</c:v>
                </c:pt>
                <c:pt idx="15">
                  <c:v>8990.42</c:v>
                </c:pt>
                <c:pt idx="16">
                  <c:v>8960.630000000001</c:v>
                </c:pt>
                <c:pt idx="17">
                  <c:v>7775.1999999999989</c:v>
                </c:pt>
                <c:pt idx="18">
                  <c:v>8052.43</c:v>
                </c:pt>
                <c:pt idx="19">
                  <c:v>8510.6999999999989</c:v>
                </c:pt>
                <c:pt idx="20">
                  <c:v>7729.35</c:v>
                </c:pt>
                <c:pt idx="21">
                  <c:v>8294.98</c:v>
                </c:pt>
                <c:pt idx="22">
                  <c:v>7868.0000000000036</c:v>
                </c:pt>
                <c:pt idx="23">
                  <c:v>10286.029999999999</c:v>
                </c:pt>
                <c:pt idx="24">
                  <c:v>11332.160000000003</c:v>
                </c:pt>
                <c:pt idx="25">
                  <c:v>10441.869999999999</c:v>
                </c:pt>
                <c:pt idx="26">
                  <c:v>8208.3499999999985</c:v>
                </c:pt>
                <c:pt idx="27">
                  <c:v>11458.980000000007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4EE-46B6-9238-5B4214A683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10539616"/>
        <c:axId val="410540008"/>
        <c:extLst>
          <c:ext xmlns:c15="http://schemas.microsoft.com/office/drawing/2012/chart" uri="{02D57815-91ED-43cb-92C2-25804820EDAC}">
            <c15:filteredAreaSeries>
              <c15:ser>
                <c:idx val="1"/>
                <c:order val="0"/>
                <c:tx>
                  <c:v>Assessment and Chaffey Reimb.</c:v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dPt>
                  <c:idx val="6"/>
                  <c:bubble3D val="0"/>
                  <c:extLst>
                    <c:ext xmlns:c16="http://schemas.microsoft.com/office/drawing/2014/chart" uri="{C3380CC4-5D6E-409C-BE32-E72D297353CC}">
                      <c16:uniqueId val="{00000002-04EE-46B6-9238-5B4214A6836D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'PLE Financial History'!$A$4:$A$31</c15:sqref>
                        </c15:formulaRef>
                      </c:ext>
                    </c:extLst>
                    <c:strCache>
                      <c:ptCount val="28"/>
                      <c:pt idx="0">
                        <c:v>92-'95</c:v>
                      </c:pt>
                      <c:pt idx="1">
                        <c:v>1996</c:v>
                      </c:pt>
                      <c:pt idx="2">
                        <c:v>1997</c:v>
                      </c:pt>
                      <c:pt idx="3">
                        <c:v>1998</c:v>
                      </c:pt>
                      <c:pt idx="4">
                        <c:v>1999</c:v>
                      </c:pt>
                      <c:pt idx="5">
                        <c:v>2000</c:v>
                      </c:pt>
                      <c:pt idx="6">
                        <c:v>2001</c:v>
                      </c:pt>
                      <c:pt idx="7">
                        <c:v>2002</c:v>
                      </c:pt>
                      <c:pt idx="8">
                        <c:v>2003</c:v>
                      </c:pt>
                      <c:pt idx="9">
                        <c:v>2004</c:v>
                      </c:pt>
                      <c:pt idx="10">
                        <c:v>2005</c:v>
                      </c:pt>
                      <c:pt idx="11">
                        <c:v>2006</c:v>
                      </c:pt>
                      <c:pt idx="12">
                        <c:v>2007</c:v>
                      </c:pt>
                      <c:pt idx="13">
                        <c:v>2008</c:v>
                      </c:pt>
                      <c:pt idx="14">
                        <c:v>2009</c:v>
                      </c:pt>
                      <c:pt idx="15">
                        <c:v>2010</c:v>
                      </c:pt>
                      <c:pt idx="16">
                        <c:v>2011</c:v>
                      </c:pt>
                      <c:pt idx="17">
                        <c:v>2012</c:v>
                      </c:pt>
                      <c:pt idx="18">
                        <c:v>2013</c:v>
                      </c:pt>
                      <c:pt idx="19">
                        <c:v>2014</c:v>
                      </c:pt>
                      <c:pt idx="20">
                        <c:v>2015</c:v>
                      </c:pt>
                      <c:pt idx="21">
                        <c:v>2016</c:v>
                      </c:pt>
                      <c:pt idx="22">
                        <c:v>2017</c:v>
                      </c:pt>
                      <c:pt idx="23">
                        <c:v>2018</c:v>
                      </c:pt>
                      <c:pt idx="24">
                        <c:v>2019</c:v>
                      </c:pt>
                      <c:pt idx="25">
                        <c:v>2020</c:v>
                      </c:pt>
                      <c:pt idx="26">
                        <c:v>2021</c:v>
                      </c:pt>
                      <c:pt idx="27">
                        <c:v>2022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'PLE Financial History'!$G$4:$G$28</c15:sqref>
                        </c15:formulaRef>
                      </c:ext>
                    </c:extLst>
                    <c:numCache>
                      <c:formatCode>"$"#,##0</c:formatCode>
                      <c:ptCount val="25"/>
                      <c:pt idx="0">
                        <c:v>4828</c:v>
                      </c:pt>
                      <c:pt idx="1">
                        <c:v>10428</c:v>
                      </c:pt>
                      <c:pt idx="2">
                        <c:v>6200</c:v>
                      </c:pt>
                      <c:pt idx="3">
                        <c:v>7659</c:v>
                      </c:pt>
                      <c:pt idx="4">
                        <c:v>8278.27</c:v>
                      </c:pt>
                      <c:pt idx="5">
                        <c:v>17215</c:v>
                      </c:pt>
                      <c:pt idx="6">
                        <c:v>9020.1</c:v>
                      </c:pt>
                      <c:pt idx="7">
                        <c:v>10225.92</c:v>
                      </c:pt>
                      <c:pt idx="8">
                        <c:v>11304.78</c:v>
                      </c:pt>
                      <c:pt idx="9">
                        <c:v>12128.08</c:v>
                      </c:pt>
                      <c:pt idx="10">
                        <c:v>12144.88</c:v>
                      </c:pt>
                      <c:pt idx="11">
                        <c:v>12156.56</c:v>
                      </c:pt>
                      <c:pt idx="12">
                        <c:v>12073.85</c:v>
                      </c:pt>
                      <c:pt idx="13">
                        <c:v>12220.83</c:v>
                      </c:pt>
                      <c:pt idx="14">
                        <c:v>11331.85</c:v>
                      </c:pt>
                      <c:pt idx="15">
                        <c:v>12015.41</c:v>
                      </c:pt>
                      <c:pt idx="16">
                        <c:v>12009.61</c:v>
                      </c:pt>
                      <c:pt idx="17">
                        <c:v>12005.76</c:v>
                      </c:pt>
                      <c:pt idx="18">
                        <c:v>11628</c:v>
                      </c:pt>
                      <c:pt idx="19">
                        <c:v>12004.17</c:v>
                      </c:pt>
                      <c:pt idx="20">
                        <c:v>10878.17</c:v>
                      </c:pt>
                      <c:pt idx="21">
                        <c:v>13500.04</c:v>
                      </c:pt>
                      <c:pt idx="22">
                        <c:v>11245</c:v>
                      </c:pt>
                      <c:pt idx="23">
                        <c:v>10500</c:v>
                      </c:pt>
                      <c:pt idx="24">
                        <c:v>13125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3-04EE-46B6-9238-5B4214A6836D}"/>
                  </c:ext>
                </c:extLst>
              </c15:ser>
            </c15:filteredAreaSeries>
            <c15:filteredAreaSeries>
              <c15:ser>
                <c:idx val="0"/>
                <c:order val="1"/>
                <c:tx>
                  <c:v>Dues &amp; Interest</c:v>
                </c:tx>
                <c:spPr>
                  <a:solidFill>
                    <a:schemeClr val="accent1"/>
                  </a:solidFill>
                  <a:ln>
                    <a:solidFill>
                      <a:schemeClr val="accent1">
                        <a:lumMod val="75000"/>
                      </a:schemeClr>
                    </a:solidFill>
                  </a:ln>
                  <a:effectLst/>
                </c:spP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'PLE Financial History'!$A$4:$A$31</c15:sqref>
                        </c15:formulaRef>
                      </c:ext>
                    </c:extLst>
                    <c:strCache>
                      <c:ptCount val="28"/>
                      <c:pt idx="0">
                        <c:v>92-'95</c:v>
                      </c:pt>
                      <c:pt idx="1">
                        <c:v>1996</c:v>
                      </c:pt>
                      <c:pt idx="2">
                        <c:v>1997</c:v>
                      </c:pt>
                      <c:pt idx="3">
                        <c:v>1998</c:v>
                      </c:pt>
                      <c:pt idx="4">
                        <c:v>1999</c:v>
                      </c:pt>
                      <c:pt idx="5">
                        <c:v>2000</c:v>
                      </c:pt>
                      <c:pt idx="6">
                        <c:v>2001</c:v>
                      </c:pt>
                      <c:pt idx="7">
                        <c:v>2002</c:v>
                      </c:pt>
                      <c:pt idx="8">
                        <c:v>2003</c:v>
                      </c:pt>
                      <c:pt idx="9">
                        <c:v>2004</c:v>
                      </c:pt>
                      <c:pt idx="10">
                        <c:v>2005</c:v>
                      </c:pt>
                      <c:pt idx="11">
                        <c:v>2006</c:v>
                      </c:pt>
                      <c:pt idx="12">
                        <c:v>2007</c:v>
                      </c:pt>
                      <c:pt idx="13">
                        <c:v>2008</c:v>
                      </c:pt>
                      <c:pt idx="14">
                        <c:v>2009</c:v>
                      </c:pt>
                      <c:pt idx="15">
                        <c:v>2010</c:v>
                      </c:pt>
                      <c:pt idx="16">
                        <c:v>2011</c:v>
                      </c:pt>
                      <c:pt idx="17">
                        <c:v>2012</c:v>
                      </c:pt>
                      <c:pt idx="18">
                        <c:v>2013</c:v>
                      </c:pt>
                      <c:pt idx="19">
                        <c:v>2014</c:v>
                      </c:pt>
                      <c:pt idx="20">
                        <c:v>2015</c:v>
                      </c:pt>
                      <c:pt idx="21">
                        <c:v>2016</c:v>
                      </c:pt>
                      <c:pt idx="22">
                        <c:v>2017</c:v>
                      </c:pt>
                      <c:pt idx="23">
                        <c:v>2018</c:v>
                      </c:pt>
                      <c:pt idx="24">
                        <c:v>2019</c:v>
                      </c:pt>
                      <c:pt idx="25">
                        <c:v>2020</c:v>
                      </c:pt>
                      <c:pt idx="26">
                        <c:v>2021</c:v>
                      </c:pt>
                      <c:pt idx="27">
                        <c:v>2022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'PLE Financial History'!$E$4:$E$28</c15:sqref>
                        </c15:formulaRef>
                      </c:ext>
                    </c:extLst>
                    <c:numCache>
                      <c:formatCode>"$"#,##0</c:formatCode>
                      <c:ptCount val="25"/>
                      <c:pt idx="0">
                        <c:v>4828</c:v>
                      </c:pt>
                      <c:pt idx="1">
                        <c:v>10428</c:v>
                      </c:pt>
                      <c:pt idx="2">
                        <c:v>6200</c:v>
                      </c:pt>
                      <c:pt idx="3">
                        <c:v>7659</c:v>
                      </c:pt>
                      <c:pt idx="4">
                        <c:v>8278.27</c:v>
                      </c:pt>
                      <c:pt idx="5">
                        <c:v>9861</c:v>
                      </c:pt>
                      <c:pt idx="6">
                        <c:v>9020.1</c:v>
                      </c:pt>
                      <c:pt idx="7">
                        <c:v>10225.92</c:v>
                      </c:pt>
                      <c:pt idx="8">
                        <c:v>11304.78</c:v>
                      </c:pt>
                      <c:pt idx="9">
                        <c:v>12128.08</c:v>
                      </c:pt>
                      <c:pt idx="10">
                        <c:v>12144.88</c:v>
                      </c:pt>
                      <c:pt idx="11">
                        <c:v>12156.56</c:v>
                      </c:pt>
                      <c:pt idx="12">
                        <c:v>12073.85</c:v>
                      </c:pt>
                      <c:pt idx="13">
                        <c:v>12220.83</c:v>
                      </c:pt>
                      <c:pt idx="14">
                        <c:v>11331.85</c:v>
                      </c:pt>
                      <c:pt idx="15">
                        <c:v>12015.41</c:v>
                      </c:pt>
                      <c:pt idx="16">
                        <c:v>12009.61</c:v>
                      </c:pt>
                      <c:pt idx="17">
                        <c:v>12005.76</c:v>
                      </c:pt>
                      <c:pt idx="18">
                        <c:v>11628</c:v>
                      </c:pt>
                      <c:pt idx="19">
                        <c:v>12004.17</c:v>
                      </c:pt>
                      <c:pt idx="20">
                        <c:v>10878.17</c:v>
                      </c:pt>
                      <c:pt idx="21">
                        <c:v>13500.04</c:v>
                      </c:pt>
                      <c:pt idx="22">
                        <c:v>11245</c:v>
                      </c:pt>
                      <c:pt idx="23">
                        <c:v>10500</c:v>
                      </c:pt>
                      <c:pt idx="24">
                        <c:v>13125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04EE-46B6-9238-5B4214A6836D}"/>
                  </c:ext>
                </c:extLst>
              </c15:ser>
            </c15:filteredAreaSeries>
            <c15:filteredAreaSeries>
              <c15:ser>
                <c:idx val="4"/>
                <c:order val="4"/>
                <c:spPr>
                  <a:solidFill>
                    <a:schemeClr val="accent5"/>
                  </a:solidFill>
                  <a:ln>
                    <a:noFill/>
                  </a:ln>
                  <a:effectLst/>
                </c:spP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'PLE Financial History'!$A$4:$A$31</c15:sqref>
                        </c15:formulaRef>
                      </c:ext>
                    </c:extLst>
                    <c:strCache>
                      <c:ptCount val="28"/>
                      <c:pt idx="0">
                        <c:v>92-'95</c:v>
                      </c:pt>
                      <c:pt idx="1">
                        <c:v>1996</c:v>
                      </c:pt>
                      <c:pt idx="2">
                        <c:v>1997</c:v>
                      </c:pt>
                      <c:pt idx="3">
                        <c:v>1998</c:v>
                      </c:pt>
                      <c:pt idx="4">
                        <c:v>1999</c:v>
                      </c:pt>
                      <c:pt idx="5">
                        <c:v>2000</c:v>
                      </c:pt>
                      <c:pt idx="6">
                        <c:v>2001</c:v>
                      </c:pt>
                      <c:pt idx="7">
                        <c:v>2002</c:v>
                      </c:pt>
                      <c:pt idx="8">
                        <c:v>2003</c:v>
                      </c:pt>
                      <c:pt idx="9">
                        <c:v>2004</c:v>
                      </c:pt>
                      <c:pt idx="10">
                        <c:v>2005</c:v>
                      </c:pt>
                      <c:pt idx="11">
                        <c:v>2006</c:v>
                      </c:pt>
                      <c:pt idx="12">
                        <c:v>2007</c:v>
                      </c:pt>
                      <c:pt idx="13">
                        <c:v>2008</c:v>
                      </c:pt>
                      <c:pt idx="14">
                        <c:v>2009</c:v>
                      </c:pt>
                      <c:pt idx="15">
                        <c:v>2010</c:v>
                      </c:pt>
                      <c:pt idx="16">
                        <c:v>2011</c:v>
                      </c:pt>
                      <c:pt idx="17">
                        <c:v>2012</c:v>
                      </c:pt>
                      <c:pt idx="18">
                        <c:v>2013</c:v>
                      </c:pt>
                      <c:pt idx="19">
                        <c:v>2014</c:v>
                      </c:pt>
                      <c:pt idx="20">
                        <c:v>2015</c:v>
                      </c:pt>
                      <c:pt idx="21">
                        <c:v>2016</c:v>
                      </c:pt>
                      <c:pt idx="22">
                        <c:v>2017</c:v>
                      </c:pt>
                      <c:pt idx="23">
                        <c:v>2018</c:v>
                      </c:pt>
                      <c:pt idx="24">
                        <c:v>2019</c:v>
                      </c:pt>
                      <c:pt idx="25">
                        <c:v>2020</c:v>
                      </c:pt>
                      <c:pt idx="26">
                        <c:v>2021</c:v>
                      </c:pt>
                      <c:pt idx="27">
                        <c:v>2022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'PLE Financial History'!$I$4:$I$28</c15:sqref>
                        </c15:formulaRef>
                      </c:ext>
                    </c:extLst>
                    <c:numCache>
                      <c:formatCode>"$"#,##0</c:formatCode>
                      <c:ptCount val="25"/>
                      <c:pt idx="0">
                        <c:v>0</c:v>
                      </c:pt>
                      <c:pt idx="1">
                        <c:v>963</c:v>
                      </c:pt>
                      <c:pt idx="2">
                        <c:v>891</c:v>
                      </c:pt>
                      <c:pt idx="3">
                        <c:v>320</c:v>
                      </c:pt>
                      <c:pt idx="4">
                        <c:v>4205</c:v>
                      </c:pt>
                      <c:pt idx="5">
                        <c:v>8423</c:v>
                      </c:pt>
                      <c:pt idx="6">
                        <c:v>1785</c:v>
                      </c:pt>
                      <c:pt idx="7">
                        <c:v>2367</c:v>
                      </c:pt>
                      <c:pt idx="8">
                        <c:v>1585</c:v>
                      </c:pt>
                      <c:pt idx="9">
                        <c:v>265</c:v>
                      </c:pt>
                      <c:pt idx="10">
                        <c:v>3950</c:v>
                      </c:pt>
                      <c:pt idx="11">
                        <c:v>6000</c:v>
                      </c:pt>
                      <c:pt idx="12">
                        <c:v>0</c:v>
                      </c:pt>
                      <c:pt idx="13">
                        <c:v>5332</c:v>
                      </c:pt>
                      <c:pt idx="14">
                        <c:v>9886</c:v>
                      </c:pt>
                      <c:pt idx="15">
                        <c:v>2435</c:v>
                      </c:pt>
                      <c:pt idx="16">
                        <c:v>0</c:v>
                      </c:pt>
                      <c:pt idx="17">
                        <c:v>175</c:v>
                      </c:pt>
                      <c:pt idx="18">
                        <c:v>367</c:v>
                      </c:pt>
                      <c:pt idx="19">
                        <c:v>1947</c:v>
                      </c:pt>
                      <c:pt idx="20">
                        <c:v>6110</c:v>
                      </c:pt>
                      <c:pt idx="21">
                        <c:v>10754</c:v>
                      </c:pt>
                      <c:pt idx="22">
                        <c:v>0</c:v>
                      </c:pt>
                      <c:pt idx="23">
                        <c:v>0</c:v>
                      </c:pt>
                      <c:pt idx="24">
                        <c:v>8157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04EE-46B6-9238-5B4214A6836D}"/>
                  </c:ext>
                </c:extLst>
              </c15:ser>
            </c15:filteredAreaSeries>
            <c15:filteredAreaSeries>
              <c15:ser>
                <c:idx val="5"/>
                <c:order val="5"/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'PLE Financial History'!$A$4:$A$31</c15:sqref>
                        </c15:formulaRef>
                      </c:ext>
                    </c:extLst>
                    <c:strCache>
                      <c:ptCount val="28"/>
                      <c:pt idx="0">
                        <c:v>92-'95</c:v>
                      </c:pt>
                      <c:pt idx="1">
                        <c:v>1996</c:v>
                      </c:pt>
                      <c:pt idx="2">
                        <c:v>1997</c:v>
                      </c:pt>
                      <c:pt idx="3">
                        <c:v>1998</c:v>
                      </c:pt>
                      <c:pt idx="4">
                        <c:v>1999</c:v>
                      </c:pt>
                      <c:pt idx="5">
                        <c:v>2000</c:v>
                      </c:pt>
                      <c:pt idx="6">
                        <c:v>2001</c:v>
                      </c:pt>
                      <c:pt idx="7">
                        <c:v>2002</c:v>
                      </c:pt>
                      <c:pt idx="8">
                        <c:v>2003</c:v>
                      </c:pt>
                      <c:pt idx="9">
                        <c:v>2004</c:v>
                      </c:pt>
                      <c:pt idx="10">
                        <c:v>2005</c:v>
                      </c:pt>
                      <c:pt idx="11">
                        <c:v>2006</c:v>
                      </c:pt>
                      <c:pt idx="12">
                        <c:v>2007</c:v>
                      </c:pt>
                      <c:pt idx="13">
                        <c:v>2008</c:v>
                      </c:pt>
                      <c:pt idx="14">
                        <c:v>2009</c:v>
                      </c:pt>
                      <c:pt idx="15">
                        <c:v>2010</c:v>
                      </c:pt>
                      <c:pt idx="16">
                        <c:v>2011</c:v>
                      </c:pt>
                      <c:pt idx="17">
                        <c:v>2012</c:v>
                      </c:pt>
                      <c:pt idx="18">
                        <c:v>2013</c:v>
                      </c:pt>
                      <c:pt idx="19">
                        <c:v>2014</c:v>
                      </c:pt>
                      <c:pt idx="20">
                        <c:v>2015</c:v>
                      </c:pt>
                      <c:pt idx="21">
                        <c:v>2016</c:v>
                      </c:pt>
                      <c:pt idx="22">
                        <c:v>2017</c:v>
                      </c:pt>
                      <c:pt idx="23">
                        <c:v>2018</c:v>
                      </c:pt>
                      <c:pt idx="24">
                        <c:v>2019</c:v>
                      </c:pt>
                      <c:pt idx="25">
                        <c:v>2020</c:v>
                      </c:pt>
                      <c:pt idx="26">
                        <c:v>2021</c:v>
                      </c:pt>
                      <c:pt idx="27">
                        <c:v>2022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'PLE Financial History'!$J$4:$J$28</c15:sqref>
                        </c15:formulaRef>
                      </c:ext>
                    </c:extLst>
                    <c:numCache>
                      <c:formatCode>"$"#,##0</c:formatCode>
                      <c:ptCount val="25"/>
                      <c:pt idx="0">
                        <c:v>579</c:v>
                      </c:pt>
                      <c:pt idx="1">
                        <c:v>8695.0299999999988</c:v>
                      </c:pt>
                      <c:pt idx="2">
                        <c:v>6833.74</c:v>
                      </c:pt>
                      <c:pt idx="3">
                        <c:v>6573.3700000000008</c:v>
                      </c:pt>
                      <c:pt idx="4">
                        <c:v>9127.32</c:v>
                      </c:pt>
                      <c:pt idx="5">
                        <c:v>13852.89</c:v>
                      </c:pt>
                      <c:pt idx="6">
                        <c:v>7767.6399999999994</c:v>
                      </c:pt>
                      <c:pt idx="7">
                        <c:v>7960.590000000002</c:v>
                      </c:pt>
                      <c:pt idx="8">
                        <c:v>8188.42</c:v>
                      </c:pt>
                      <c:pt idx="9">
                        <c:v>7206.76</c:v>
                      </c:pt>
                      <c:pt idx="10">
                        <c:v>10899.72</c:v>
                      </c:pt>
                      <c:pt idx="11">
                        <c:v>12936.069999999998</c:v>
                      </c:pt>
                      <c:pt idx="12">
                        <c:v>8509.0300000000007</c:v>
                      </c:pt>
                      <c:pt idx="13">
                        <c:v>14218.69</c:v>
                      </c:pt>
                      <c:pt idx="14">
                        <c:v>18023.2</c:v>
                      </c:pt>
                      <c:pt idx="15">
                        <c:v>11425.42</c:v>
                      </c:pt>
                      <c:pt idx="16">
                        <c:v>8960.630000000001</c:v>
                      </c:pt>
                      <c:pt idx="17">
                        <c:v>7950.1999999999989</c:v>
                      </c:pt>
                      <c:pt idx="18">
                        <c:v>8419.43</c:v>
                      </c:pt>
                      <c:pt idx="19">
                        <c:v>10457.699999999999</c:v>
                      </c:pt>
                      <c:pt idx="20">
                        <c:v>13839.35</c:v>
                      </c:pt>
                      <c:pt idx="21">
                        <c:v>19048.98</c:v>
                      </c:pt>
                      <c:pt idx="22">
                        <c:v>7868.0000000000036</c:v>
                      </c:pt>
                      <c:pt idx="23">
                        <c:v>10286.029999999999</c:v>
                      </c:pt>
                      <c:pt idx="24">
                        <c:v>19489.160000000003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04EE-46B6-9238-5B4214A6836D}"/>
                  </c:ext>
                </c:extLst>
              </c15:ser>
            </c15:filteredAreaSeries>
            <c15:filteredAreaSeries>
              <c15:ser>
                <c:idx val="6"/>
                <c:order val="6"/>
                <c:spPr>
                  <a:solidFill>
                    <a:schemeClr val="accent1">
                      <a:lumMod val="60000"/>
                    </a:schemeClr>
                  </a:solidFill>
                  <a:ln>
                    <a:noFill/>
                  </a:ln>
                  <a:effectLst/>
                </c:spP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'PLE Financial History'!$A$4:$A$31</c15:sqref>
                        </c15:formulaRef>
                      </c:ext>
                    </c:extLst>
                    <c:strCache>
                      <c:ptCount val="28"/>
                      <c:pt idx="0">
                        <c:v>92-'95</c:v>
                      </c:pt>
                      <c:pt idx="1">
                        <c:v>1996</c:v>
                      </c:pt>
                      <c:pt idx="2">
                        <c:v>1997</c:v>
                      </c:pt>
                      <c:pt idx="3">
                        <c:v>1998</c:v>
                      </c:pt>
                      <c:pt idx="4">
                        <c:v>1999</c:v>
                      </c:pt>
                      <c:pt idx="5">
                        <c:v>2000</c:v>
                      </c:pt>
                      <c:pt idx="6">
                        <c:v>2001</c:v>
                      </c:pt>
                      <c:pt idx="7">
                        <c:v>2002</c:v>
                      </c:pt>
                      <c:pt idx="8">
                        <c:v>2003</c:v>
                      </c:pt>
                      <c:pt idx="9">
                        <c:v>2004</c:v>
                      </c:pt>
                      <c:pt idx="10">
                        <c:v>2005</c:v>
                      </c:pt>
                      <c:pt idx="11">
                        <c:v>2006</c:v>
                      </c:pt>
                      <c:pt idx="12">
                        <c:v>2007</c:v>
                      </c:pt>
                      <c:pt idx="13">
                        <c:v>2008</c:v>
                      </c:pt>
                      <c:pt idx="14">
                        <c:v>2009</c:v>
                      </c:pt>
                      <c:pt idx="15">
                        <c:v>2010</c:v>
                      </c:pt>
                      <c:pt idx="16">
                        <c:v>2011</c:v>
                      </c:pt>
                      <c:pt idx="17">
                        <c:v>2012</c:v>
                      </c:pt>
                      <c:pt idx="18">
                        <c:v>2013</c:v>
                      </c:pt>
                      <c:pt idx="19">
                        <c:v>2014</c:v>
                      </c:pt>
                      <c:pt idx="20">
                        <c:v>2015</c:v>
                      </c:pt>
                      <c:pt idx="21">
                        <c:v>2016</c:v>
                      </c:pt>
                      <c:pt idx="22">
                        <c:v>2017</c:v>
                      </c:pt>
                      <c:pt idx="23">
                        <c:v>2018</c:v>
                      </c:pt>
                      <c:pt idx="24">
                        <c:v>2019</c:v>
                      </c:pt>
                      <c:pt idx="25">
                        <c:v>2020</c:v>
                      </c:pt>
                      <c:pt idx="26">
                        <c:v>2021</c:v>
                      </c:pt>
                      <c:pt idx="27">
                        <c:v>2022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'PLE Financial History'!$K$4:$K$28</c15:sqref>
                        </c15:formulaRef>
                      </c:ext>
                    </c:extLst>
                    <c:numCache>
                      <c:formatCode>"$"#,##0</c:formatCode>
                      <c:ptCount val="25"/>
                      <c:pt idx="0">
                        <c:v>4249</c:v>
                      </c:pt>
                      <c:pt idx="1">
                        <c:v>5981.97</c:v>
                      </c:pt>
                      <c:pt idx="2">
                        <c:v>5348.2300000000005</c:v>
                      </c:pt>
                      <c:pt idx="3">
                        <c:v>6433.86</c:v>
                      </c:pt>
                      <c:pt idx="4">
                        <c:v>5584.81</c:v>
                      </c:pt>
                      <c:pt idx="5">
                        <c:v>8946.92</c:v>
                      </c:pt>
                      <c:pt idx="6">
                        <c:v>10199.380000000001</c:v>
                      </c:pt>
                      <c:pt idx="7">
                        <c:v>12464.71</c:v>
                      </c:pt>
                      <c:pt idx="8">
                        <c:v>15581.07</c:v>
                      </c:pt>
                      <c:pt idx="9">
                        <c:v>20502.39</c:v>
                      </c:pt>
                      <c:pt idx="10">
                        <c:v>21747.55</c:v>
                      </c:pt>
                      <c:pt idx="11">
                        <c:v>20968.04</c:v>
                      </c:pt>
                      <c:pt idx="12">
                        <c:v>24532.86</c:v>
                      </c:pt>
                      <c:pt idx="13">
                        <c:v>22535</c:v>
                      </c:pt>
                      <c:pt idx="14">
                        <c:v>15843.65</c:v>
                      </c:pt>
                      <c:pt idx="15">
                        <c:v>16433.64</c:v>
                      </c:pt>
                      <c:pt idx="16">
                        <c:v>19482.62</c:v>
                      </c:pt>
                      <c:pt idx="17">
                        <c:v>23538.18</c:v>
                      </c:pt>
                      <c:pt idx="18">
                        <c:v>26746.75</c:v>
                      </c:pt>
                      <c:pt idx="19">
                        <c:v>28293.22</c:v>
                      </c:pt>
                      <c:pt idx="20">
                        <c:v>25332.04</c:v>
                      </c:pt>
                      <c:pt idx="21">
                        <c:v>19783.100000000002</c:v>
                      </c:pt>
                      <c:pt idx="22">
                        <c:v>23160.1</c:v>
                      </c:pt>
                      <c:pt idx="23">
                        <c:v>23374.07</c:v>
                      </c:pt>
                      <c:pt idx="24">
                        <c:v>17009.909999999996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04EE-46B6-9238-5B4214A6836D}"/>
                  </c:ext>
                </c:extLst>
              </c15:ser>
            </c15:filteredAreaSeries>
          </c:ext>
        </c:extLst>
      </c:areaChart>
      <c:catAx>
        <c:axId val="4105396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0540008"/>
        <c:crosses val="autoZero"/>
        <c:auto val="1"/>
        <c:lblAlgn val="ctr"/>
        <c:lblOffset val="100"/>
        <c:noMultiLvlLbl val="0"/>
      </c:catAx>
      <c:valAx>
        <c:axId val="4105400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053961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068780817929408"/>
          <c:y val="0.66444444444444439"/>
          <c:w val="0.20911289623743398"/>
          <c:h val="0.14922108221320823"/>
        </c:manualLayout>
      </c:layout>
      <c:overlay val="0"/>
      <c:spPr>
        <a:solidFill>
          <a:sysClr val="window" lastClr="FFFFFF"/>
        </a:solidFill>
        <a:ln>
          <a:solidFill>
            <a:sysClr val="windowText" lastClr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ysClr val="windowText" lastClr="000000"/>
                </a:solidFill>
              </a:rPr>
              <a:t>PLE Year End Balance, Income and Expense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34838145231846"/>
          <c:y val="0.17171296296296296"/>
          <c:w val="0.79343219597550307"/>
          <c:h val="0.66535505978419363"/>
        </c:manualLayout>
      </c:layout>
      <c:lineChart>
        <c:grouping val="standard"/>
        <c:varyColors val="0"/>
        <c:ser>
          <c:idx val="6"/>
          <c:order val="0"/>
          <c:tx>
            <c:v>Balance</c:v>
          </c:tx>
          <c:spPr>
            <a:ln w="50800" cap="rnd">
              <a:solidFill>
                <a:srgbClr val="0000FF"/>
              </a:solidFill>
              <a:round/>
            </a:ln>
            <a:effectLst/>
          </c:spPr>
          <c:marker>
            <c:symbol val="none"/>
          </c:marker>
          <c:cat>
            <c:strRef>
              <c:f>'PLE Financial History'!$A$4:$A$31</c:f>
              <c:strCache>
                <c:ptCount val="28"/>
                <c:pt idx="0">
                  <c:v>92-'95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</c:strCache>
            </c:strRef>
          </c:cat>
          <c:val>
            <c:numRef>
              <c:f>'PLE Financial History'!$K$4:$K$31</c:f>
              <c:numCache>
                <c:formatCode>"$"#,##0</c:formatCode>
                <c:ptCount val="28"/>
                <c:pt idx="0">
                  <c:v>4249</c:v>
                </c:pt>
                <c:pt idx="1">
                  <c:v>5981.97</c:v>
                </c:pt>
                <c:pt idx="2">
                  <c:v>5348.2300000000005</c:v>
                </c:pt>
                <c:pt idx="3">
                  <c:v>6433.86</c:v>
                </c:pt>
                <c:pt idx="4">
                  <c:v>5584.81</c:v>
                </c:pt>
                <c:pt idx="5">
                  <c:v>8946.92</c:v>
                </c:pt>
                <c:pt idx="6">
                  <c:v>10199.380000000001</c:v>
                </c:pt>
                <c:pt idx="7">
                  <c:v>12464.71</c:v>
                </c:pt>
                <c:pt idx="8">
                  <c:v>15581.07</c:v>
                </c:pt>
                <c:pt idx="9">
                  <c:v>20502.39</c:v>
                </c:pt>
                <c:pt idx="10">
                  <c:v>21747.55</c:v>
                </c:pt>
                <c:pt idx="11">
                  <c:v>20968.04</c:v>
                </c:pt>
                <c:pt idx="12">
                  <c:v>24532.86</c:v>
                </c:pt>
                <c:pt idx="13">
                  <c:v>22535</c:v>
                </c:pt>
                <c:pt idx="14">
                  <c:v>15843.65</c:v>
                </c:pt>
                <c:pt idx="15">
                  <c:v>16433.64</c:v>
                </c:pt>
                <c:pt idx="16">
                  <c:v>19482.62</c:v>
                </c:pt>
                <c:pt idx="17">
                  <c:v>23538.18</c:v>
                </c:pt>
                <c:pt idx="18">
                  <c:v>26746.75</c:v>
                </c:pt>
                <c:pt idx="19">
                  <c:v>28293.22</c:v>
                </c:pt>
                <c:pt idx="20">
                  <c:v>25332.04</c:v>
                </c:pt>
                <c:pt idx="21">
                  <c:v>19783.100000000002</c:v>
                </c:pt>
                <c:pt idx="22">
                  <c:v>23160.1</c:v>
                </c:pt>
                <c:pt idx="23">
                  <c:v>23374.07</c:v>
                </c:pt>
                <c:pt idx="24">
                  <c:v>17009.909999999996</c:v>
                </c:pt>
                <c:pt idx="25">
                  <c:v>17748.039999999997</c:v>
                </c:pt>
                <c:pt idx="26">
                  <c:v>22706.149999999998</c:v>
                </c:pt>
                <c:pt idx="27">
                  <c:v>24307.169999999991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03-4A6B-BA0B-1B5E1ABCD55F}"/>
            </c:ext>
          </c:extLst>
        </c:ser>
        <c:ser>
          <c:idx val="1"/>
          <c:order val="1"/>
          <c:tx>
            <c:v>Income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dPt>
            <c:idx val="6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1-CB03-4A6B-BA0B-1B5E1ABCD55F}"/>
              </c:ext>
            </c:extLst>
          </c:dPt>
          <c:cat>
            <c:strRef>
              <c:f>'PLE Financial History'!$A$4:$A$31</c:f>
              <c:strCache>
                <c:ptCount val="28"/>
                <c:pt idx="0">
                  <c:v>92-'95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</c:strCache>
            </c:strRef>
          </c:cat>
          <c:val>
            <c:numRef>
              <c:f>'PLE Financial History'!$G$4:$G$31</c:f>
              <c:numCache>
                <c:formatCode>"$"#,##0</c:formatCode>
                <c:ptCount val="28"/>
                <c:pt idx="0">
                  <c:v>4828</c:v>
                </c:pt>
                <c:pt idx="1">
                  <c:v>10428</c:v>
                </c:pt>
                <c:pt idx="2">
                  <c:v>6200</c:v>
                </c:pt>
                <c:pt idx="3">
                  <c:v>7659</c:v>
                </c:pt>
                <c:pt idx="4">
                  <c:v>8278.27</c:v>
                </c:pt>
                <c:pt idx="5">
                  <c:v>17215</c:v>
                </c:pt>
                <c:pt idx="6">
                  <c:v>9020.1</c:v>
                </c:pt>
                <c:pt idx="7">
                  <c:v>10225.92</c:v>
                </c:pt>
                <c:pt idx="8">
                  <c:v>11304.78</c:v>
                </c:pt>
                <c:pt idx="9">
                  <c:v>12128.08</c:v>
                </c:pt>
                <c:pt idx="10">
                  <c:v>12144.88</c:v>
                </c:pt>
                <c:pt idx="11">
                  <c:v>12156.56</c:v>
                </c:pt>
                <c:pt idx="12">
                  <c:v>12073.85</c:v>
                </c:pt>
                <c:pt idx="13">
                  <c:v>12220.83</c:v>
                </c:pt>
                <c:pt idx="14">
                  <c:v>11331.85</c:v>
                </c:pt>
                <c:pt idx="15">
                  <c:v>12015.41</c:v>
                </c:pt>
                <c:pt idx="16">
                  <c:v>12009.61</c:v>
                </c:pt>
                <c:pt idx="17">
                  <c:v>12005.76</c:v>
                </c:pt>
                <c:pt idx="18">
                  <c:v>11628</c:v>
                </c:pt>
                <c:pt idx="19">
                  <c:v>12004.17</c:v>
                </c:pt>
                <c:pt idx="20">
                  <c:v>10878.17</c:v>
                </c:pt>
                <c:pt idx="21">
                  <c:v>13500.04</c:v>
                </c:pt>
                <c:pt idx="22">
                  <c:v>11245</c:v>
                </c:pt>
                <c:pt idx="23">
                  <c:v>10500</c:v>
                </c:pt>
                <c:pt idx="24">
                  <c:v>13125</c:v>
                </c:pt>
                <c:pt idx="25">
                  <c:v>13760</c:v>
                </c:pt>
                <c:pt idx="26">
                  <c:v>13760</c:v>
                </c:pt>
                <c:pt idx="27">
                  <c:v>13760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B03-4A6B-BA0B-1B5E1ABCD55F}"/>
            </c:ext>
          </c:extLst>
        </c:ser>
        <c:ser>
          <c:idx val="3"/>
          <c:order val="3"/>
          <c:tx>
            <c:v>Expense</c:v>
          </c:tx>
          <c:spPr>
            <a:ln w="28575" cap="rnd">
              <a:solidFill>
                <a:schemeClr val="accent4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'PLE Financial History'!$A$4:$A$31</c:f>
              <c:strCache>
                <c:ptCount val="28"/>
                <c:pt idx="0">
                  <c:v>92-'95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</c:strCache>
            </c:strRef>
          </c:cat>
          <c:val>
            <c:numRef>
              <c:f>'PLE Financial History'!$J$4:$J$31</c:f>
              <c:numCache>
                <c:formatCode>"$"#,##0</c:formatCode>
                <c:ptCount val="28"/>
                <c:pt idx="0">
                  <c:v>579</c:v>
                </c:pt>
                <c:pt idx="1">
                  <c:v>8695.0299999999988</c:v>
                </c:pt>
                <c:pt idx="2">
                  <c:v>6833.74</c:v>
                </c:pt>
                <c:pt idx="3">
                  <c:v>6573.3700000000008</c:v>
                </c:pt>
                <c:pt idx="4">
                  <c:v>9127.32</c:v>
                </c:pt>
                <c:pt idx="5">
                  <c:v>13852.89</c:v>
                </c:pt>
                <c:pt idx="6">
                  <c:v>7767.6399999999994</c:v>
                </c:pt>
                <c:pt idx="7">
                  <c:v>7960.590000000002</c:v>
                </c:pt>
                <c:pt idx="8">
                  <c:v>8188.42</c:v>
                </c:pt>
                <c:pt idx="9">
                  <c:v>7206.76</c:v>
                </c:pt>
                <c:pt idx="10">
                  <c:v>10899.72</c:v>
                </c:pt>
                <c:pt idx="11">
                  <c:v>12936.069999999998</c:v>
                </c:pt>
                <c:pt idx="12">
                  <c:v>8509.0300000000007</c:v>
                </c:pt>
                <c:pt idx="13">
                  <c:v>14218.69</c:v>
                </c:pt>
                <c:pt idx="14">
                  <c:v>18023.2</c:v>
                </c:pt>
                <c:pt idx="15">
                  <c:v>11425.42</c:v>
                </c:pt>
                <c:pt idx="16">
                  <c:v>8960.630000000001</c:v>
                </c:pt>
                <c:pt idx="17">
                  <c:v>7950.1999999999989</c:v>
                </c:pt>
                <c:pt idx="18">
                  <c:v>8419.43</c:v>
                </c:pt>
                <c:pt idx="19">
                  <c:v>10457.699999999999</c:v>
                </c:pt>
                <c:pt idx="20">
                  <c:v>13839.35</c:v>
                </c:pt>
                <c:pt idx="21">
                  <c:v>19048.98</c:v>
                </c:pt>
                <c:pt idx="22">
                  <c:v>7868.0000000000036</c:v>
                </c:pt>
                <c:pt idx="23">
                  <c:v>10286.029999999999</c:v>
                </c:pt>
                <c:pt idx="24">
                  <c:v>19489.160000000003</c:v>
                </c:pt>
                <c:pt idx="25">
                  <c:v>13021.869999999999</c:v>
                </c:pt>
                <c:pt idx="26">
                  <c:v>8801.89</c:v>
                </c:pt>
                <c:pt idx="27">
                  <c:v>12158.980000000007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B03-4A6B-BA0B-1B5E1ABCD5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0535696"/>
        <c:axId val="410535304"/>
        <c:extLst>
          <c:ext xmlns:c15="http://schemas.microsoft.com/office/drawing/2012/chart" uri="{02D57815-91ED-43cb-92C2-25804820EDAC}">
            <c15:filteredLineSeries>
              <c15:ser>
                <c:idx val="0"/>
                <c:order val="2"/>
                <c:tx>
                  <c:v>Dues &amp; Interest</c:v>
                </c:tx>
                <c:spPr>
                  <a:ln w="28575" cap="rnd">
                    <a:solidFill>
                      <a:schemeClr val="accent1">
                        <a:lumMod val="75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'PLE Financial History'!$A$4:$A$31</c15:sqref>
                        </c15:formulaRef>
                      </c:ext>
                    </c:extLst>
                    <c:strCache>
                      <c:ptCount val="28"/>
                      <c:pt idx="0">
                        <c:v>92-'95</c:v>
                      </c:pt>
                      <c:pt idx="1">
                        <c:v>1996</c:v>
                      </c:pt>
                      <c:pt idx="2">
                        <c:v>1997</c:v>
                      </c:pt>
                      <c:pt idx="3">
                        <c:v>1998</c:v>
                      </c:pt>
                      <c:pt idx="4">
                        <c:v>1999</c:v>
                      </c:pt>
                      <c:pt idx="5">
                        <c:v>2000</c:v>
                      </c:pt>
                      <c:pt idx="6">
                        <c:v>2001</c:v>
                      </c:pt>
                      <c:pt idx="7">
                        <c:v>2002</c:v>
                      </c:pt>
                      <c:pt idx="8">
                        <c:v>2003</c:v>
                      </c:pt>
                      <c:pt idx="9">
                        <c:v>2004</c:v>
                      </c:pt>
                      <c:pt idx="10">
                        <c:v>2005</c:v>
                      </c:pt>
                      <c:pt idx="11">
                        <c:v>2006</c:v>
                      </c:pt>
                      <c:pt idx="12">
                        <c:v>2007</c:v>
                      </c:pt>
                      <c:pt idx="13">
                        <c:v>2008</c:v>
                      </c:pt>
                      <c:pt idx="14">
                        <c:v>2009</c:v>
                      </c:pt>
                      <c:pt idx="15">
                        <c:v>2010</c:v>
                      </c:pt>
                      <c:pt idx="16">
                        <c:v>2011</c:v>
                      </c:pt>
                      <c:pt idx="17">
                        <c:v>2012</c:v>
                      </c:pt>
                      <c:pt idx="18">
                        <c:v>2013</c:v>
                      </c:pt>
                      <c:pt idx="19">
                        <c:v>2014</c:v>
                      </c:pt>
                      <c:pt idx="20">
                        <c:v>2015</c:v>
                      </c:pt>
                      <c:pt idx="21">
                        <c:v>2016</c:v>
                      </c:pt>
                      <c:pt idx="22">
                        <c:v>2017</c:v>
                      </c:pt>
                      <c:pt idx="23">
                        <c:v>2018</c:v>
                      </c:pt>
                      <c:pt idx="24">
                        <c:v>2019</c:v>
                      </c:pt>
                      <c:pt idx="25">
                        <c:v>2020</c:v>
                      </c:pt>
                      <c:pt idx="26">
                        <c:v>2021</c:v>
                      </c:pt>
                      <c:pt idx="27">
                        <c:v>2022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'PLE Financial History'!$E$4:$E$28</c15:sqref>
                        </c15:formulaRef>
                      </c:ext>
                    </c:extLst>
                    <c:numCache>
                      <c:formatCode>"$"#,##0</c:formatCode>
                      <c:ptCount val="25"/>
                      <c:pt idx="0">
                        <c:v>4828</c:v>
                      </c:pt>
                      <c:pt idx="1">
                        <c:v>10428</c:v>
                      </c:pt>
                      <c:pt idx="2">
                        <c:v>6200</c:v>
                      </c:pt>
                      <c:pt idx="3">
                        <c:v>7659</c:v>
                      </c:pt>
                      <c:pt idx="4">
                        <c:v>8278.27</c:v>
                      </c:pt>
                      <c:pt idx="5">
                        <c:v>9861</c:v>
                      </c:pt>
                      <c:pt idx="6">
                        <c:v>9020.1</c:v>
                      </c:pt>
                      <c:pt idx="7">
                        <c:v>10225.92</c:v>
                      </c:pt>
                      <c:pt idx="8">
                        <c:v>11304.78</c:v>
                      </c:pt>
                      <c:pt idx="9">
                        <c:v>12128.08</c:v>
                      </c:pt>
                      <c:pt idx="10">
                        <c:v>12144.88</c:v>
                      </c:pt>
                      <c:pt idx="11">
                        <c:v>12156.56</c:v>
                      </c:pt>
                      <c:pt idx="12">
                        <c:v>12073.85</c:v>
                      </c:pt>
                      <c:pt idx="13">
                        <c:v>12220.83</c:v>
                      </c:pt>
                      <c:pt idx="14">
                        <c:v>11331.85</c:v>
                      </c:pt>
                      <c:pt idx="15">
                        <c:v>12015.41</c:v>
                      </c:pt>
                      <c:pt idx="16">
                        <c:v>12009.61</c:v>
                      </c:pt>
                      <c:pt idx="17">
                        <c:v>12005.76</c:v>
                      </c:pt>
                      <c:pt idx="18">
                        <c:v>11628</c:v>
                      </c:pt>
                      <c:pt idx="19">
                        <c:v>12004.17</c:v>
                      </c:pt>
                      <c:pt idx="20">
                        <c:v>10878.17</c:v>
                      </c:pt>
                      <c:pt idx="21">
                        <c:v>13500.04</c:v>
                      </c:pt>
                      <c:pt idx="22">
                        <c:v>11245</c:v>
                      </c:pt>
                      <c:pt idx="23">
                        <c:v>10500</c:v>
                      </c:pt>
                      <c:pt idx="24">
                        <c:v>13125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4-CB03-4A6B-BA0B-1B5E1ABCD55F}"/>
                  </c:ext>
                </c:extLst>
              </c15:ser>
            </c15:filteredLineSeries>
            <c15:filteredLineSeries>
              <c15:ser>
                <c:idx val="2"/>
                <c:order val="4"/>
                <c:tx>
                  <c:v>Routine</c:v>
                </c:tx>
                <c:spPr>
                  <a:ln w="28575" cap="rnd">
                    <a:solidFill>
                      <a:schemeClr val="tx1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'PLE Financial History'!$A$4:$A$31</c15:sqref>
                        </c15:formulaRef>
                      </c:ext>
                    </c:extLst>
                    <c:strCache>
                      <c:ptCount val="28"/>
                      <c:pt idx="0">
                        <c:v>92-'95</c:v>
                      </c:pt>
                      <c:pt idx="1">
                        <c:v>1996</c:v>
                      </c:pt>
                      <c:pt idx="2">
                        <c:v>1997</c:v>
                      </c:pt>
                      <c:pt idx="3">
                        <c:v>1998</c:v>
                      </c:pt>
                      <c:pt idx="4">
                        <c:v>1999</c:v>
                      </c:pt>
                      <c:pt idx="5">
                        <c:v>2000</c:v>
                      </c:pt>
                      <c:pt idx="6">
                        <c:v>2001</c:v>
                      </c:pt>
                      <c:pt idx="7">
                        <c:v>2002</c:v>
                      </c:pt>
                      <c:pt idx="8">
                        <c:v>2003</c:v>
                      </c:pt>
                      <c:pt idx="9">
                        <c:v>2004</c:v>
                      </c:pt>
                      <c:pt idx="10">
                        <c:v>2005</c:v>
                      </c:pt>
                      <c:pt idx="11">
                        <c:v>2006</c:v>
                      </c:pt>
                      <c:pt idx="12">
                        <c:v>2007</c:v>
                      </c:pt>
                      <c:pt idx="13">
                        <c:v>2008</c:v>
                      </c:pt>
                      <c:pt idx="14">
                        <c:v>2009</c:v>
                      </c:pt>
                      <c:pt idx="15">
                        <c:v>2010</c:v>
                      </c:pt>
                      <c:pt idx="16">
                        <c:v>2011</c:v>
                      </c:pt>
                      <c:pt idx="17">
                        <c:v>2012</c:v>
                      </c:pt>
                      <c:pt idx="18">
                        <c:v>2013</c:v>
                      </c:pt>
                      <c:pt idx="19">
                        <c:v>2014</c:v>
                      </c:pt>
                      <c:pt idx="20">
                        <c:v>2015</c:v>
                      </c:pt>
                      <c:pt idx="21">
                        <c:v>2016</c:v>
                      </c:pt>
                      <c:pt idx="22">
                        <c:v>2017</c:v>
                      </c:pt>
                      <c:pt idx="23">
                        <c:v>2018</c:v>
                      </c:pt>
                      <c:pt idx="24">
                        <c:v>2019</c:v>
                      </c:pt>
                      <c:pt idx="25">
                        <c:v>2020</c:v>
                      </c:pt>
                      <c:pt idx="26">
                        <c:v>2021</c:v>
                      </c:pt>
                      <c:pt idx="27">
                        <c:v>2022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'PLE Financial History'!$H$4:$H$28</c15:sqref>
                        </c15:formulaRef>
                      </c:ext>
                    </c:extLst>
                    <c:numCache>
                      <c:formatCode>"$"#,##0</c:formatCode>
                      <c:ptCount val="25"/>
                      <c:pt idx="0">
                        <c:v>579</c:v>
                      </c:pt>
                      <c:pt idx="1">
                        <c:v>7732.0299999999988</c:v>
                      </c:pt>
                      <c:pt idx="2">
                        <c:v>5942.74</c:v>
                      </c:pt>
                      <c:pt idx="3">
                        <c:v>6253.3700000000008</c:v>
                      </c:pt>
                      <c:pt idx="4">
                        <c:v>4922.32</c:v>
                      </c:pt>
                      <c:pt idx="5">
                        <c:v>5429.8899999999994</c:v>
                      </c:pt>
                      <c:pt idx="6">
                        <c:v>5982.6399999999994</c:v>
                      </c:pt>
                      <c:pt idx="7">
                        <c:v>5593.590000000002</c:v>
                      </c:pt>
                      <c:pt idx="8">
                        <c:v>6603.42</c:v>
                      </c:pt>
                      <c:pt idx="9">
                        <c:v>6941.76</c:v>
                      </c:pt>
                      <c:pt idx="10">
                        <c:v>6949.7199999999993</c:v>
                      </c:pt>
                      <c:pt idx="11">
                        <c:v>6936.0699999999979</c:v>
                      </c:pt>
                      <c:pt idx="12">
                        <c:v>8509.0300000000007</c:v>
                      </c:pt>
                      <c:pt idx="13">
                        <c:v>8886.69</c:v>
                      </c:pt>
                      <c:pt idx="14">
                        <c:v>8137.2000000000007</c:v>
                      </c:pt>
                      <c:pt idx="15">
                        <c:v>8990.42</c:v>
                      </c:pt>
                      <c:pt idx="16">
                        <c:v>8960.630000000001</c:v>
                      </c:pt>
                      <c:pt idx="17">
                        <c:v>7775.1999999999989</c:v>
                      </c:pt>
                      <c:pt idx="18">
                        <c:v>8052.43</c:v>
                      </c:pt>
                      <c:pt idx="19">
                        <c:v>8510.6999999999989</c:v>
                      </c:pt>
                      <c:pt idx="20">
                        <c:v>7729.35</c:v>
                      </c:pt>
                      <c:pt idx="21">
                        <c:v>8294.98</c:v>
                      </c:pt>
                      <c:pt idx="22">
                        <c:v>7868.0000000000036</c:v>
                      </c:pt>
                      <c:pt idx="23">
                        <c:v>10286.029999999999</c:v>
                      </c:pt>
                      <c:pt idx="24">
                        <c:v>11332.160000000003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CB03-4A6B-BA0B-1B5E1ABCD55F}"/>
                  </c:ext>
                </c:extLst>
              </c15:ser>
            </c15:filteredLineSeries>
            <c15:filteredLineSeries>
              <c15:ser>
                <c:idx val="4"/>
                <c:order val="5"/>
                <c:spPr>
                  <a:ln w="28575" cap="rnd">
                    <a:solidFill>
                      <a:schemeClr val="accent5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'PLE Financial History'!$A$4:$A$31</c15:sqref>
                        </c15:formulaRef>
                      </c:ext>
                    </c:extLst>
                    <c:strCache>
                      <c:ptCount val="28"/>
                      <c:pt idx="0">
                        <c:v>92-'95</c:v>
                      </c:pt>
                      <c:pt idx="1">
                        <c:v>1996</c:v>
                      </c:pt>
                      <c:pt idx="2">
                        <c:v>1997</c:v>
                      </c:pt>
                      <c:pt idx="3">
                        <c:v>1998</c:v>
                      </c:pt>
                      <c:pt idx="4">
                        <c:v>1999</c:v>
                      </c:pt>
                      <c:pt idx="5">
                        <c:v>2000</c:v>
                      </c:pt>
                      <c:pt idx="6">
                        <c:v>2001</c:v>
                      </c:pt>
                      <c:pt idx="7">
                        <c:v>2002</c:v>
                      </c:pt>
                      <c:pt idx="8">
                        <c:v>2003</c:v>
                      </c:pt>
                      <c:pt idx="9">
                        <c:v>2004</c:v>
                      </c:pt>
                      <c:pt idx="10">
                        <c:v>2005</c:v>
                      </c:pt>
                      <c:pt idx="11">
                        <c:v>2006</c:v>
                      </c:pt>
                      <c:pt idx="12">
                        <c:v>2007</c:v>
                      </c:pt>
                      <c:pt idx="13">
                        <c:v>2008</c:v>
                      </c:pt>
                      <c:pt idx="14">
                        <c:v>2009</c:v>
                      </c:pt>
                      <c:pt idx="15">
                        <c:v>2010</c:v>
                      </c:pt>
                      <c:pt idx="16">
                        <c:v>2011</c:v>
                      </c:pt>
                      <c:pt idx="17">
                        <c:v>2012</c:v>
                      </c:pt>
                      <c:pt idx="18">
                        <c:v>2013</c:v>
                      </c:pt>
                      <c:pt idx="19">
                        <c:v>2014</c:v>
                      </c:pt>
                      <c:pt idx="20">
                        <c:v>2015</c:v>
                      </c:pt>
                      <c:pt idx="21">
                        <c:v>2016</c:v>
                      </c:pt>
                      <c:pt idx="22">
                        <c:v>2017</c:v>
                      </c:pt>
                      <c:pt idx="23">
                        <c:v>2018</c:v>
                      </c:pt>
                      <c:pt idx="24">
                        <c:v>2019</c:v>
                      </c:pt>
                      <c:pt idx="25">
                        <c:v>2020</c:v>
                      </c:pt>
                      <c:pt idx="26">
                        <c:v>2021</c:v>
                      </c:pt>
                      <c:pt idx="27">
                        <c:v>2022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'PLE Financial History'!$I$4:$I$28</c15:sqref>
                        </c15:formulaRef>
                      </c:ext>
                    </c:extLst>
                    <c:numCache>
                      <c:formatCode>"$"#,##0</c:formatCode>
                      <c:ptCount val="25"/>
                      <c:pt idx="0">
                        <c:v>0</c:v>
                      </c:pt>
                      <c:pt idx="1">
                        <c:v>963</c:v>
                      </c:pt>
                      <c:pt idx="2">
                        <c:v>891</c:v>
                      </c:pt>
                      <c:pt idx="3">
                        <c:v>320</c:v>
                      </c:pt>
                      <c:pt idx="4">
                        <c:v>4205</c:v>
                      </c:pt>
                      <c:pt idx="5">
                        <c:v>8423</c:v>
                      </c:pt>
                      <c:pt idx="6">
                        <c:v>1785</c:v>
                      </c:pt>
                      <c:pt idx="7">
                        <c:v>2367</c:v>
                      </c:pt>
                      <c:pt idx="8">
                        <c:v>1585</c:v>
                      </c:pt>
                      <c:pt idx="9">
                        <c:v>265</c:v>
                      </c:pt>
                      <c:pt idx="10">
                        <c:v>3950</c:v>
                      </c:pt>
                      <c:pt idx="11">
                        <c:v>6000</c:v>
                      </c:pt>
                      <c:pt idx="12">
                        <c:v>0</c:v>
                      </c:pt>
                      <c:pt idx="13">
                        <c:v>5332</c:v>
                      </c:pt>
                      <c:pt idx="14">
                        <c:v>9886</c:v>
                      </c:pt>
                      <c:pt idx="15">
                        <c:v>2435</c:v>
                      </c:pt>
                      <c:pt idx="16">
                        <c:v>0</c:v>
                      </c:pt>
                      <c:pt idx="17">
                        <c:v>175</c:v>
                      </c:pt>
                      <c:pt idx="18">
                        <c:v>367</c:v>
                      </c:pt>
                      <c:pt idx="19">
                        <c:v>1947</c:v>
                      </c:pt>
                      <c:pt idx="20">
                        <c:v>6110</c:v>
                      </c:pt>
                      <c:pt idx="21">
                        <c:v>10754</c:v>
                      </c:pt>
                      <c:pt idx="22">
                        <c:v>0</c:v>
                      </c:pt>
                      <c:pt idx="23">
                        <c:v>0</c:v>
                      </c:pt>
                      <c:pt idx="24">
                        <c:v>8157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CB03-4A6B-BA0B-1B5E1ABCD55F}"/>
                  </c:ext>
                </c:extLst>
              </c15:ser>
            </c15:filteredLineSeries>
            <c15:filteredLineSeries>
              <c15:ser>
                <c:idx val="5"/>
                <c:order val="6"/>
                <c:spPr>
                  <a:ln w="28575" cap="rnd">
                    <a:solidFill>
                      <a:schemeClr val="accent2">
                        <a:lumMod val="75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'PLE Financial History'!$A$4:$A$31</c15:sqref>
                        </c15:formulaRef>
                      </c:ext>
                    </c:extLst>
                    <c:strCache>
                      <c:ptCount val="28"/>
                      <c:pt idx="0">
                        <c:v>92-'95</c:v>
                      </c:pt>
                      <c:pt idx="1">
                        <c:v>1996</c:v>
                      </c:pt>
                      <c:pt idx="2">
                        <c:v>1997</c:v>
                      </c:pt>
                      <c:pt idx="3">
                        <c:v>1998</c:v>
                      </c:pt>
                      <c:pt idx="4">
                        <c:v>1999</c:v>
                      </c:pt>
                      <c:pt idx="5">
                        <c:v>2000</c:v>
                      </c:pt>
                      <c:pt idx="6">
                        <c:v>2001</c:v>
                      </c:pt>
                      <c:pt idx="7">
                        <c:v>2002</c:v>
                      </c:pt>
                      <c:pt idx="8">
                        <c:v>2003</c:v>
                      </c:pt>
                      <c:pt idx="9">
                        <c:v>2004</c:v>
                      </c:pt>
                      <c:pt idx="10">
                        <c:v>2005</c:v>
                      </c:pt>
                      <c:pt idx="11">
                        <c:v>2006</c:v>
                      </c:pt>
                      <c:pt idx="12">
                        <c:v>2007</c:v>
                      </c:pt>
                      <c:pt idx="13">
                        <c:v>2008</c:v>
                      </c:pt>
                      <c:pt idx="14">
                        <c:v>2009</c:v>
                      </c:pt>
                      <c:pt idx="15">
                        <c:v>2010</c:v>
                      </c:pt>
                      <c:pt idx="16">
                        <c:v>2011</c:v>
                      </c:pt>
                      <c:pt idx="17">
                        <c:v>2012</c:v>
                      </c:pt>
                      <c:pt idx="18">
                        <c:v>2013</c:v>
                      </c:pt>
                      <c:pt idx="19">
                        <c:v>2014</c:v>
                      </c:pt>
                      <c:pt idx="20">
                        <c:v>2015</c:v>
                      </c:pt>
                      <c:pt idx="21">
                        <c:v>2016</c:v>
                      </c:pt>
                      <c:pt idx="22">
                        <c:v>2017</c:v>
                      </c:pt>
                      <c:pt idx="23">
                        <c:v>2018</c:v>
                      </c:pt>
                      <c:pt idx="24">
                        <c:v>2019</c:v>
                      </c:pt>
                      <c:pt idx="25">
                        <c:v>2020</c:v>
                      </c:pt>
                      <c:pt idx="26">
                        <c:v>2021</c:v>
                      </c:pt>
                      <c:pt idx="27">
                        <c:v>2022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'PLE Financial History'!$J$4:$J$28</c15:sqref>
                        </c15:formulaRef>
                      </c:ext>
                    </c:extLst>
                    <c:numCache>
                      <c:formatCode>"$"#,##0</c:formatCode>
                      <c:ptCount val="25"/>
                      <c:pt idx="0">
                        <c:v>579</c:v>
                      </c:pt>
                      <c:pt idx="1">
                        <c:v>8695.0299999999988</c:v>
                      </c:pt>
                      <c:pt idx="2">
                        <c:v>6833.74</c:v>
                      </c:pt>
                      <c:pt idx="3">
                        <c:v>6573.3700000000008</c:v>
                      </c:pt>
                      <c:pt idx="4">
                        <c:v>9127.32</c:v>
                      </c:pt>
                      <c:pt idx="5">
                        <c:v>13852.89</c:v>
                      </c:pt>
                      <c:pt idx="6">
                        <c:v>7767.6399999999994</c:v>
                      </c:pt>
                      <c:pt idx="7">
                        <c:v>7960.590000000002</c:v>
                      </c:pt>
                      <c:pt idx="8">
                        <c:v>8188.42</c:v>
                      </c:pt>
                      <c:pt idx="9">
                        <c:v>7206.76</c:v>
                      </c:pt>
                      <c:pt idx="10">
                        <c:v>10899.72</c:v>
                      </c:pt>
                      <c:pt idx="11">
                        <c:v>12936.069999999998</c:v>
                      </c:pt>
                      <c:pt idx="12">
                        <c:v>8509.0300000000007</c:v>
                      </c:pt>
                      <c:pt idx="13">
                        <c:v>14218.69</c:v>
                      </c:pt>
                      <c:pt idx="14">
                        <c:v>18023.2</c:v>
                      </c:pt>
                      <c:pt idx="15">
                        <c:v>11425.42</c:v>
                      </c:pt>
                      <c:pt idx="16">
                        <c:v>8960.630000000001</c:v>
                      </c:pt>
                      <c:pt idx="17">
                        <c:v>7950.1999999999989</c:v>
                      </c:pt>
                      <c:pt idx="18">
                        <c:v>8419.43</c:v>
                      </c:pt>
                      <c:pt idx="19">
                        <c:v>10457.699999999999</c:v>
                      </c:pt>
                      <c:pt idx="20">
                        <c:v>13839.35</c:v>
                      </c:pt>
                      <c:pt idx="21">
                        <c:v>19048.98</c:v>
                      </c:pt>
                      <c:pt idx="22">
                        <c:v>7868.0000000000036</c:v>
                      </c:pt>
                      <c:pt idx="23">
                        <c:v>10286.029999999999</c:v>
                      </c:pt>
                      <c:pt idx="24">
                        <c:v>19489.160000000003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CB03-4A6B-BA0B-1B5E1ABCD55F}"/>
                  </c:ext>
                </c:extLst>
              </c15:ser>
            </c15:filteredLineSeries>
          </c:ext>
        </c:extLst>
      </c:lineChart>
      <c:catAx>
        <c:axId val="410535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0535304"/>
        <c:crosses val="autoZero"/>
        <c:auto val="1"/>
        <c:lblAlgn val="ctr"/>
        <c:lblOffset val="100"/>
        <c:noMultiLvlLbl val="0"/>
      </c:catAx>
      <c:valAx>
        <c:axId val="4105353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0535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0.12928233343217038"/>
          <c:y val="0.17729050535349755"/>
          <c:w val="0.21282596997551037"/>
          <c:h val="0.21990959463400409"/>
        </c:manualLayout>
      </c:layout>
      <c:overlay val="0"/>
      <c:spPr>
        <a:solidFill>
          <a:sysClr val="window" lastClr="FFFFFF"/>
        </a:solidFill>
        <a:ln>
          <a:solidFill>
            <a:sysClr val="windowText" lastClr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baseline="0">
                <a:solidFill>
                  <a:sysClr val="windowText" lastClr="000000"/>
                </a:solidFill>
              </a:rPr>
              <a:t>Ending Balance By Month: 2014 - 2022 Projected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'PLE Financial History'!$C$103:$D$103</c:f>
              <c:strCache>
                <c:ptCount val="2"/>
                <c:pt idx="0">
                  <c:v>2014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'PLE Financial History'!$E$102:$P$102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'PLE Financial History'!$E$103:$P$103</c:f>
              <c:numCache>
                <c:formatCode>"$"#,##0</c:formatCode>
                <c:ptCount val="12"/>
                <c:pt idx="0">
                  <c:v>26217.55</c:v>
                </c:pt>
                <c:pt idx="1">
                  <c:v>25610.5</c:v>
                </c:pt>
                <c:pt idx="2">
                  <c:v>22992.850000000002</c:v>
                </c:pt>
                <c:pt idx="3">
                  <c:v>32106.78</c:v>
                </c:pt>
                <c:pt idx="4">
                  <c:v>33597.889999999992</c:v>
                </c:pt>
                <c:pt idx="5">
                  <c:v>33720.639999999992</c:v>
                </c:pt>
                <c:pt idx="6">
                  <c:v>32682.28999999999</c:v>
                </c:pt>
                <c:pt idx="7">
                  <c:v>32574.35999999999</c:v>
                </c:pt>
                <c:pt idx="8">
                  <c:v>32000.149999999987</c:v>
                </c:pt>
                <c:pt idx="9">
                  <c:v>29908.169999999987</c:v>
                </c:pt>
                <c:pt idx="10">
                  <c:v>28920.459999999985</c:v>
                </c:pt>
                <c:pt idx="11">
                  <c:v>28293.219999999987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03-4621-B622-FB38F217928F}"/>
            </c:ext>
          </c:extLst>
        </c:ser>
        <c:ser>
          <c:idx val="1"/>
          <c:order val="1"/>
          <c:tx>
            <c:strRef>
              <c:f>'PLE Financial History'!$C$104:$D$104</c:f>
              <c:strCache>
                <c:ptCount val="2"/>
                <c:pt idx="0">
                  <c:v>2015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'PLE Financial History'!$E$102:$P$102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'PLE Financial History'!$E$104:$P$104</c:f>
              <c:numCache>
                <c:formatCode>"$"#,##0</c:formatCode>
                <c:ptCount val="12"/>
                <c:pt idx="0">
                  <c:v>28293.49</c:v>
                </c:pt>
                <c:pt idx="1">
                  <c:v>28165.210000000003</c:v>
                </c:pt>
                <c:pt idx="2">
                  <c:v>26607.550000000003</c:v>
                </c:pt>
                <c:pt idx="3">
                  <c:v>37348.320000000007</c:v>
                </c:pt>
                <c:pt idx="4">
                  <c:v>36299.810000000005</c:v>
                </c:pt>
                <c:pt idx="5">
                  <c:v>35592.200000000004</c:v>
                </c:pt>
                <c:pt idx="6">
                  <c:v>35063</c:v>
                </c:pt>
                <c:pt idx="7">
                  <c:v>33137</c:v>
                </c:pt>
                <c:pt idx="8">
                  <c:v>32595.63</c:v>
                </c:pt>
                <c:pt idx="9">
                  <c:v>26470.730000000003</c:v>
                </c:pt>
                <c:pt idx="10">
                  <c:v>25951.68</c:v>
                </c:pt>
                <c:pt idx="11">
                  <c:v>25332.04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03-4621-B622-FB38F217928F}"/>
            </c:ext>
          </c:extLst>
        </c:ser>
        <c:ser>
          <c:idx val="2"/>
          <c:order val="2"/>
          <c:tx>
            <c:strRef>
              <c:f>'PLE Financial History'!$C$105:$D$105</c:f>
              <c:strCache>
                <c:ptCount val="2"/>
                <c:pt idx="0">
                  <c:v>2016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'PLE Financial History'!$E$102:$P$102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'PLE Financial History'!$E$105:$P$105</c:f>
              <c:numCache>
                <c:formatCode>"$"#,##0</c:formatCode>
                <c:ptCount val="12"/>
                <c:pt idx="0">
                  <c:v>13857.230000000003</c:v>
                </c:pt>
                <c:pt idx="1">
                  <c:v>13190.530000000002</c:v>
                </c:pt>
                <c:pt idx="2">
                  <c:v>17397.750000000004</c:v>
                </c:pt>
                <c:pt idx="3">
                  <c:v>23078.600000000002</c:v>
                </c:pt>
                <c:pt idx="4">
                  <c:v>23661.850000000002</c:v>
                </c:pt>
                <c:pt idx="5">
                  <c:v>23593.770000000004</c:v>
                </c:pt>
                <c:pt idx="6">
                  <c:v>22945.120000000003</c:v>
                </c:pt>
                <c:pt idx="7">
                  <c:v>22203.530000000002</c:v>
                </c:pt>
                <c:pt idx="8">
                  <c:v>21554.880000000001</c:v>
                </c:pt>
                <c:pt idx="9">
                  <c:v>20838.02</c:v>
                </c:pt>
                <c:pt idx="10">
                  <c:v>20524.690000000002</c:v>
                </c:pt>
                <c:pt idx="11">
                  <c:v>19783.100000000002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903-4621-B622-FB38F217928F}"/>
            </c:ext>
          </c:extLst>
        </c:ser>
        <c:ser>
          <c:idx val="3"/>
          <c:order val="3"/>
          <c:tx>
            <c:strRef>
              <c:f>'PLE Financial History'!$C$106:$D$106</c:f>
              <c:strCache>
                <c:ptCount val="2"/>
                <c:pt idx="0">
                  <c:v>2017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'PLE Financial History'!$E$102:$P$102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'PLE Financial History'!$E$106:$P$106</c:f>
              <c:numCache>
                <c:formatCode>"$"#,##0</c:formatCode>
                <c:ptCount val="12"/>
                <c:pt idx="0">
                  <c:v>19154.769999999997</c:v>
                </c:pt>
                <c:pt idx="1">
                  <c:v>18783.179999999997</c:v>
                </c:pt>
                <c:pt idx="2">
                  <c:v>22614.929999999997</c:v>
                </c:pt>
                <c:pt idx="3">
                  <c:v>27101.879999999997</c:v>
                </c:pt>
                <c:pt idx="4">
                  <c:v>27220.92</c:v>
                </c:pt>
                <c:pt idx="5">
                  <c:v>26831.109999999997</c:v>
                </c:pt>
                <c:pt idx="6">
                  <c:v>26181.67</c:v>
                </c:pt>
                <c:pt idx="7">
                  <c:v>25367.949999999997</c:v>
                </c:pt>
                <c:pt idx="8">
                  <c:v>24728.67</c:v>
                </c:pt>
                <c:pt idx="9">
                  <c:v>24676.26</c:v>
                </c:pt>
                <c:pt idx="10">
                  <c:v>23444.019999999997</c:v>
                </c:pt>
                <c:pt idx="11">
                  <c:v>23160.1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903-4621-B622-FB38F217928F}"/>
            </c:ext>
          </c:extLst>
        </c:ser>
        <c:ser>
          <c:idx val="4"/>
          <c:order val="4"/>
          <c:tx>
            <c:strRef>
              <c:f>'PLE Financial History'!$C$107:$D$107</c:f>
              <c:strCache>
                <c:ptCount val="2"/>
                <c:pt idx="0">
                  <c:v>2018</c:v>
                </c:pt>
              </c:strCache>
            </c:strRef>
          </c:tx>
          <c:spPr>
            <a:ln w="28575" cap="rnd">
              <a:solidFill>
                <a:srgbClr val="FFFF00"/>
              </a:solidFill>
              <a:round/>
            </a:ln>
            <a:effectLst/>
          </c:spPr>
          <c:marker>
            <c:symbol val="none"/>
          </c:marker>
          <c:cat>
            <c:strRef>
              <c:f>'PLE Financial History'!$E$102:$P$102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'PLE Financial History'!$E$107:$P$107</c:f>
              <c:numCache>
                <c:formatCode>"$"#,##0</c:formatCode>
                <c:ptCount val="12"/>
                <c:pt idx="0">
                  <c:v>23101.599999999999</c:v>
                </c:pt>
                <c:pt idx="1">
                  <c:v>21853.059999999998</c:v>
                </c:pt>
                <c:pt idx="2">
                  <c:v>20425.819999999996</c:v>
                </c:pt>
                <c:pt idx="3">
                  <c:v>26154.379999999997</c:v>
                </c:pt>
                <c:pt idx="4">
                  <c:v>25841.51</c:v>
                </c:pt>
                <c:pt idx="5">
                  <c:v>25153.64</c:v>
                </c:pt>
                <c:pt idx="6">
                  <c:v>25091.14</c:v>
                </c:pt>
                <c:pt idx="7">
                  <c:v>24946.720000000001</c:v>
                </c:pt>
                <c:pt idx="8">
                  <c:v>23018.720000000001</c:v>
                </c:pt>
                <c:pt idx="9">
                  <c:v>21341.22</c:v>
                </c:pt>
                <c:pt idx="10">
                  <c:v>21607.32</c:v>
                </c:pt>
                <c:pt idx="11">
                  <c:v>23374.07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903-4621-B622-FB38F217928F}"/>
            </c:ext>
          </c:extLst>
        </c:ser>
        <c:ser>
          <c:idx val="5"/>
          <c:order val="5"/>
          <c:tx>
            <c:strRef>
              <c:f>'PLE Financial History'!$C$108:$D$108</c:f>
              <c:strCache>
                <c:ptCount val="2"/>
                <c:pt idx="0">
                  <c:v>2019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strRef>
              <c:f>'PLE Financial History'!$E$102:$P$102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'PLE Financial History'!$E$108:$P$108</c:f>
              <c:numCache>
                <c:formatCode>"$"#,##0</c:formatCode>
                <c:ptCount val="12"/>
                <c:pt idx="0">
                  <c:v>22821.07</c:v>
                </c:pt>
                <c:pt idx="1">
                  <c:v>22758.57</c:v>
                </c:pt>
                <c:pt idx="2">
                  <c:v>31275.57</c:v>
                </c:pt>
                <c:pt idx="3">
                  <c:v>34588.07</c:v>
                </c:pt>
                <c:pt idx="4">
                  <c:v>34525.57</c:v>
                </c:pt>
                <c:pt idx="5">
                  <c:v>31636.32</c:v>
                </c:pt>
                <c:pt idx="6">
                  <c:v>31573.82</c:v>
                </c:pt>
                <c:pt idx="7">
                  <c:v>31511.32</c:v>
                </c:pt>
                <c:pt idx="8">
                  <c:v>29839.989999999998</c:v>
                </c:pt>
                <c:pt idx="9">
                  <c:v>22837.829999999998</c:v>
                </c:pt>
                <c:pt idx="10">
                  <c:v>19630.059999999998</c:v>
                </c:pt>
                <c:pt idx="11">
                  <c:v>17009.909999999996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903-4621-B622-FB38F217928F}"/>
            </c:ext>
          </c:extLst>
        </c:ser>
        <c:ser>
          <c:idx val="6"/>
          <c:order val="6"/>
          <c:tx>
            <c:v>2020</c:v>
          </c:tx>
          <c:spPr>
            <a:ln w="28575" cap="rnd">
              <a:solidFill>
                <a:srgbClr val="0000FF"/>
              </a:solidFill>
              <a:round/>
            </a:ln>
            <a:effectLst/>
          </c:spPr>
          <c:marker>
            <c:symbol val="none"/>
          </c:marker>
          <c:val>
            <c:numRef>
              <c:f>'PLE Financial History'!$E$109:$P$109</c:f>
              <c:numCache>
                <c:formatCode>"$"#,##0</c:formatCode>
                <c:ptCount val="12"/>
                <c:pt idx="0">
                  <c:v>16354.059999999996</c:v>
                </c:pt>
                <c:pt idx="1">
                  <c:v>19623.879999999997</c:v>
                </c:pt>
                <c:pt idx="2">
                  <c:v>27238.799999999996</c:v>
                </c:pt>
                <c:pt idx="3">
                  <c:v>26485.779999999995</c:v>
                </c:pt>
                <c:pt idx="4">
                  <c:v>24990.849999999995</c:v>
                </c:pt>
                <c:pt idx="5">
                  <c:v>23037.489999999994</c:v>
                </c:pt>
                <c:pt idx="6">
                  <c:v>23050.709999999995</c:v>
                </c:pt>
                <c:pt idx="7">
                  <c:v>22069.449999999997</c:v>
                </c:pt>
                <c:pt idx="8">
                  <c:v>20729.369999999995</c:v>
                </c:pt>
                <c:pt idx="9">
                  <c:v>19761.379999999994</c:v>
                </c:pt>
                <c:pt idx="10">
                  <c:v>18742.459999999992</c:v>
                </c:pt>
                <c:pt idx="11">
                  <c:v>17748.039999999994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E903-4621-B622-FB38F217928F}"/>
            </c:ext>
          </c:extLst>
        </c:ser>
        <c:ser>
          <c:idx val="7"/>
          <c:order val="7"/>
          <c:tx>
            <c:strRef>
              <c:f>'PLE Financial History'!$C$110</c:f>
              <c:strCache>
                <c:ptCount val="1"/>
                <c:pt idx="0">
                  <c:v>2021</c:v>
                </c:pt>
              </c:strCache>
            </c:strRef>
          </c:tx>
          <c:spPr>
            <a:ln w="28575" cap="rnd">
              <a:solidFill>
                <a:srgbClr val="33CC33"/>
              </a:solidFill>
              <a:round/>
            </a:ln>
            <a:effectLst/>
          </c:spPr>
          <c:marker>
            <c:symbol val="none"/>
          </c:marker>
          <c:val>
            <c:numRef>
              <c:f>'PLE Financial History'!$E$110:$P$110</c:f>
              <c:numCache>
                <c:formatCode>"$"#,##0</c:formatCode>
                <c:ptCount val="12"/>
                <c:pt idx="0">
                  <c:v>17107.959999999995</c:v>
                </c:pt>
                <c:pt idx="1">
                  <c:v>16467.879999999994</c:v>
                </c:pt>
                <c:pt idx="2">
                  <c:v>16377.799999999994</c:v>
                </c:pt>
                <c:pt idx="3">
                  <c:v>28087.719999999994</c:v>
                </c:pt>
                <c:pt idx="4">
                  <c:v>27185.639999999992</c:v>
                </c:pt>
                <c:pt idx="5">
                  <c:v>26773.299999999992</c:v>
                </c:pt>
                <c:pt idx="6">
                  <c:v>25539.679999999993</c:v>
                </c:pt>
                <c:pt idx="7">
                  <c:v>25034.339999999993</c:v>
                </c:pt>
                <c:pt idx="8">
                  <c:v>24944.259999999991</c:v>
                </c:pt>
                <c:pt idx="9">
                  <c:v>23754.179999999993</c:v>
                </c:pt>
                <c:pt idx="10">
                  <c:v>23114.099999999991</c:v>
                </c:pt>
                <c:pt idx="11">
                  <c:v>22706.149999999991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D7-435E-9F9B-3C1B7F50EA4C}"/>
            </c:ext>
          </c:extLst>
        </c:ser>
        <c:ser>
          <c:idx val="8"/>
          <c:order val="8"/>
          <c:tx>
            <c:v>2022</c:v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'PLE Financial History'!$CU$123:$DF$123</c:f>
              <c:numCache>
                <c:formatCode>"$"#,##0</c:formatCode>
                <c:ptCount val="12"/>
                <c:pt idx="0">
                  <c:v>21516.07</c:v>
                </c:pt>
                <c:pt idx="1">
                  <c:v>20677.989999999998</c:v>
                </c:pt>
                <c:pt idx="2">
                  <c:v>19609.899999999998</c:v>
                </c:pt>
                <c:pt idx="3">
                  <c:v>28979.819999999996</c:v>
                </c:pt>
                <c:pt idx="4">
                  <c:v>30369.739999999998</c:v>
                </c:pt>
                <c:pt idx="5">
                  <c:v>29038.46</c:v>
                </c:pt>
                <c:pt idx="6">
                  <c:v>27848.379999999997</c:v>
                </c:pt>
                <c:pt idx="7">
                  <c:v>28478.299999999996</c:v>
                </c:pt>
                <c:pt idx="8">
                  <c:v>27982.919999999995</c:v>
                </c:pt>
                <c:pt idx="9">
                  <c:v>26842.839999999997</c:v>
                </c:pt>
                <c:pt idx="10">
                  <c:v>26082.759999999995</c:v>
                </c:pt>
                <c:pt idx="11">
                  <c:v>24307.169999999995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DF-47A6-92DD-D2110BD179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0537656"/>
        <c:axId val="410536480"/>
      </c:lineChart>
      <c:catAx>
        <c:axId val="410537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0536480"/>
        <c:crosses val="autoZero"/>
        <c:auto val="1"/>
        <c:lblAlgn val="ctr"/>
        <c:lblOffset val="100"/>
        <c:noMultiLvlLbl val="0"/>
      </c:catAx>
      <c:valAx>
        <c:axId val="410536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05376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4.xml"/><Relationship Id="rId1" Type="http://schemas.openxmlformats.org/officeDocument/2006/relationships/chart" Target="../charts/chart23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6.xml"/><Relationship Id="rId1" Type="http://schemas.openxmlformats.org/officeDocument/2006/relationships/chart" Target="../charts/chart25.xml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9.xml"/><Relationship Id="rId2" Type="http://schemas.openxmlformats.org/officeDocument/2006/relationships/chart" Target="../charts/chart28.xml"/><Relationship Id="rId1" Type="http://schemas.openxmlformats.org/officeDocument/2006/relationships/chart" Target="../charts/chart27.xml"/><Relationship Id="rId4" Type="http://schemas.openxmlformats.org/officeDocument/2006/relationships/chart" Target="../charts/chart30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3.xml"/><Relationship Id="rId3" Type="http://schemas.openxmlformats.org/officeDocument/2006/relationships/chart" Target="../charts/chart8.xml"/><Relationship Id="rId7" Type="http://schemas.openxmlformats.org/officeDocument/2006/relationships/chart" Target="../charts/chart12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Relationship Id="rId6" Type="http://schemas.openxmlformats.org/officeDocument/2006/relationships/chart" Target="../charts/chart11.xml"/><Relationship Id="rId11" Type="http://schemas.openxmlformats.org/officeDocument/2006/relationships/chart" Target="../charts/chart16.xml"/><Relationship Id="rId5" Type="http://schemas.openxmlformats.org/officeDocument/2006/relationships/chart" Target="../charts/chart10.xml"/><Relationship Id="rId10" Type="http://schemas.openxmlformats.org/officeDocument/2006/relationships/chart" Target="../charts/chart15.xml"/><Relationship Id="rId4" Type="http://schemas.openxmlformats.org/officeDocument/2006/relationships/chart" Target="../charts/chart9.xml"/><Relationship Id="rId9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47624</xdr:colOff>
      <xdr:row>54</xdr:row>
      <xdr:rowOff>133350</xdr:rowOff>
    </xdr:from>
    <xdr:to>
      <xdr:col>9</xdr:col>
      <xdr:colOff>838199</xdr:colOff>
      <xdr:row>75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0.62097</cdr:x>
      <cdr:y>0.52641</cdr:y>
    </cdr:from>
    <cdr:to>
      <cdr:x>0.90034</cdr:x>
      <cdr:y>0.58652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AAC384A6-D6F6-0C42-49F8-5C5CBB600B7D}"/>
            </a:ext>
          </a:extLst>
        </cdr:cNvPr>
        <cdr:cNvSpPr txBox="1"/>
      </cdr:nvSpPr>
      <cdr:spPr>
        <a:xfrm xmlns:a="http://schemas.openxmlformats.org/drawingml/2006/main">
          <a:off x="3520440" y="2202180"/>
          <a:ext cx="1583825" cy="25146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200">
              <a:solidFill>
                <a:schemeClr val="bg2">
                  <a:lumMod val="50000"/>
                </a:schemeClr>
              </a:solidFill>
            </a:rPr>
            <a:t>Contingency: $10.5K</a:t>
          </a:r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29</xdr:row>
      <xdr:rowOff>0</xdr:rowOff>
    </xdr:from>
    <xdr:to>
      <xdr:col>12</xdr:col>
      <xdr:colOff>107022</xdr:colOff>
      <xdr:row>46</xdr:row>
      <xdr:rowOff>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631433</xdr:colOff>
      <xdr:row>27</xdr:row>
      <xdr:rowOff>117724</xdr:rowOff>
    </xdr:from>
    <xdr:to>
      <xdr:col>11</xdr:col>
      <xdr:colOff>738455</xdr:colOff>
      <xdr:row>44</xdr:row>
      <xdr:rowOff>117726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30</xdr:row>
      <xdr:rowOff>0</xdr:rowOff>
    </xdr:from>
    <xdr:to>
      <xdr:col>12</xdr:col>
      <xdr:colOff>107022</xdr:colOff>
      <xdr:row>47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30</xdr:row>
      <xdr:rowOff>0</xdr:rowOff>
    </xdr:from>
    <xdr:to>
      <xdr:col>12</xdr:col>
      <xdr:colOff>107022</xdr:colOff>
      <xdr:row>47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32107</xdr:colOff>
      <xdr:row>29</xdr:row>
      <xdr:rowOff>42808</xdr:rowOff>
    </xdr:from>
    <xdr:to>
      <xdr:col>12</xdr:col>
      <xdr:colOff>139129</xdr:colOff>
      <xdr:row>46</xdr:row>
      <xdr:rowOff>42809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310365</xdr:colOff>
      <xdr:row>38</xdr:row>
      <xdr:rowOff>203342</xdr:rowOff>
    </xdr:from>
    <xdr:to>
      <xdr:col>12</xdr:col>
      <xdr:colOff>652838</xdr:colOff>
      <xdr:row>55</xdr:row>
      <xdr:rowOff>192640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117723</xdr:colOff>
      <xdr:row>32</xdr:row>
      <xdr:rowOff>10702</xdr:rowOff>
    </xdr:from>
    <xdr:to>
      <xdr:col>12</xdr:col>
      <xdr:colOff>428089</xdr:colOff>
      <xdr:row>49</xdr:row>
      <xdr:rowOff>10703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577922</xdr:colOff>
      <xdr:row>32</xdr:row>
      <xdr:rowOff>32107</xdr:rowOff>
    </xdr:from>
    <xdr:to>
      <xdr:col>19</xdr:col>
      <xdr:colOff>406686</xdr:colOff>
      <xdr:row>53</xdr:row>
      <xdr:rowOff>53511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1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117723</xdr:colOff>
      <xdr:row>32</xdr:row>
      <xdr:rowOff>10702</xdr:rowOff>
    </xdr:from>
    <xdr:to>
      <xdr:col>12</xdr:col>
      <xdr:colOff>428089</xdr:colOff>
      <xdr:row>50</xdr:row>
      <xdr:rowOff>10703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577922</xdr:colOff>
      <xdr:row>32</xdr:row>
      <xdr:rowOff>32107</xdr:rowOff>
    </xdr:from>
    <xdr:to>
      <xdr:col>19</xdr:col>
      <xdr:colOff>406686</xdr:colOff>
      <xdr:row>54</xdr:row>
      <xdr:rowOff>53511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14982</xdr:colOff>
      <xdr:row>52</xdr:row>
      <xdr:rowOff>19264</xdr:rowOff>
    </xdr:from>
    <xdr:to>
      <xdr:col>12</xdr:col>
      <xdr:colOff>325348</xdr:colOff>
      <xdr:row>70</xdr:row>
      <xdr:rowOff>19265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007ADAE-E3C7-42A1-8617-7DE35DEB9F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697787</xdr:colOff>
      <xdr:row>26</xdr:row>
      <xdr:rowOff>92039</xdr:rowOff>
    </xdr:from>
    <xdr:to>
      <xdr:col>19</xdr:col>
      <xdr:colOff>526551</xdr:colOff>
      <xdr:row>49</xdr:row>
      <xdr:rowOff>96320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91D3EFC-39AD-4449-93A6-5E06D935D5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94181</xdr:colOff>
      <xdr:row>26</xdr:row>
      <xdr:rowOff>68494</xdr:rowOff>
    </xdr:from>
    <xdr:to>
      <xdr:col>12</xdr:col>
      <xdr:colOff>498728</xdr:colOff>
      <xdr:row>46</xdr:row>
      <xdr:rowOff>17123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C8CDBB87-D667-410A-B0CB-78B4781593C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582203</xdr:colOff>
      <xdr:row>55</xdr:row>
      <xdr:rowOff>0</xdr:rowOff>
    </xdr:from>
    <xdr:to>
      <xdr:col>19</xdr:col>
      <xdr:colOff>410967</xdr:colOff>
      <xdr:row>77</xdr:row>
      <xdr:rowOff>21404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9D26172E-DBF8-46FC-8594-ADA488725B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0.23824</cdr:x>
      <cdr:y>0.28475</cdr:y>
    </cdr:from>
    <cdr:to>
      <cdr:x>0.3566</cdr:x>
      <cdr:y>0.33184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495426" y="1209675"/>
          <a:ext cx="742950" cy="20003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b="1"/>
            <a:t>$10,458</a:t>
          </a:r>
        </a:p>
      </cdr:txBody>
    </cdr:sp>
  </cdr:relSizeAnchor>
  <cdr:relSizeAnchor xmlns:cdr="http://schemas.openxmlformats.org/drawingml/2006/chartDrawing">
    <cdr:from>
      <cdr:x>0.34598</cdr:x>
      <cdr:y>0.19058</cdr:y>
    </cdr:from>
    <cdr:to>
      <cdr:x>0.46586</cdr:x>
      <cdr:y>0.23542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2171701" y="809626"/>
          <a:ext cx="752475" cy="1904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b="1"/>
            <a:t>$13,839</a:t>
          </a:r>
        </a:p>
      </cdr:txBody>
    </cdr:sp>
  </cdr:relSizeAnchor>
  <cdr:relSizeAnchor xmlns:cdr="http://schemas.openxmlformats.org/drawingml/2006/chartDrawing">
    <cdr:from>
      <cdr:x>0.45979</cdr:x>
      <cdr:y>0.06502</cdr:y>
    </cdr:from>
    <cdr:to>
      <cdr:x>0.57663</cdr:x>
      <cdr:y>0.11883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2886077" y="276225"/>
          <a:ext cx="733416" cy="22858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b="1"/>
            <a:t>$19,049</a:t>
          </a:r>
        </a:p>
      </cdr:txBody>
    </cdr:sp>
  </cdr:relSizeAnchor>
  <cdr:relSizeAnchor xmlns:cdr="http://schemas.openxmlformats.org/drawingml/2006/chartDrawing">
    <cdr:from>
      <cdr:x>0.56904</cdr:x>
      <cdr:y>0.34305</cdr:y>
    </cdr:from>
    <cdr:to>
      <cdr:x>0.67071</cdr:x>
      <cdr:y>0.41256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3571876" y="1457326"/>
          <a:ext cx="638175" cy="29529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b="1"/>
            <a:t>$7,868</a:t>
          </a:r>
        </a:p>
      </cdr:txBody>
    </cdr:sp>
  </cdr:relSizeAnchor>
  <cdr:relSizeAnchor xmlns:cdr="http://schemas.openxmlformats.org/drawingml/2006/chartDrawing">
    <cdr:from>
      <cdr:x>0.6783</cdr:x>
      <cdr:y>0.29596</cdr:y>
    </cdr:from>
    <cdr:to>
      <cdr:x>0.78453</cdr:x>
      <cdr:y>0.34529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4257676" y="1257300"/>
          <a:ext cx="666781" cy="20953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b="1"/>
            <a:t>$10,286</a:t>
          </a:r>
        </a:p>
      </cdr:txBody>
    </cdr:sp>
  </cdr:relSizeAnchor>
  <cdr:relSizeAnchor xmlns:cdr="http://schemas.openxmlformats.org/drawingml/2006/chartDrawing">
    <cdr:from>
      <cdr:x>0.78503</cdr:x>
      <cdr:y>0.05605</cdr:y>
    </cdr:from>
    <cdr:to>
      <cdr:x>0.88771</cdr:x>
      <cdr:y>0.10837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4927614" y="238115"/>
          <a:ext cx="644519" cy="22226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 b="1"/>
            <a:t>$19,489</a:t>
          </a:r>
        </a:p>
      </cdr:txBody>
    </cdr:sp>
  </cdr:relSizeAnchor>
  <cdr:relSizeAnchor xmlns:cdr="http://schemas.openxmlformats.org/drawingml/2006/chartDrawing">
    <cdr:from>
      <cdr:x>0.88923</cdr:x>
      <cdr:y>0.19283</cdr:y>
    </cdr:from>
    <cdr:to>
      <cdr:x>0.99241</cdr:x>
      <cdr:y>0.24514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5581652" y="819151"/>
          <a:ext cx="647700" cy="22224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 b="1"/>
            <a:t>$13,760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223837</xdr:colOff>
      <xdr:row>59</xdr:row>
      <xdr:rowOff>142875</xdr:rowOff>
    </xdr:from>
    <xdr:to>
      <xdr:col>14</xdr:col>
      <xdr:colOff>395287</xdr:colOff>
      <xdr:row>77</xdr:row>
      <xdr:rowOff>47625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559594</xdr:colOff>
      <xdr:row>59</xdr:row>
      <xdr:rowOff>119061</xdr:rowOff>
    </xdr:from>
    <xdr:to>
      <xdr:col>24</xdr:col>
      <xdr:colOff>461963</xdr:colOff>
      <xdr:row>80</xdr:row>
      <xdr:rowOff>166688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 fPrintsWithSheet="0"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0.32021</cdr:x>
      <cdr:y>0.32084</cdr:y>
    </cdr:from>
    <cdr:to>
      <cdr:x>0.39465</cdr:x>
      <cdr:y>0.37389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172363" y="1379023"/>
          <a:ext cx="505014" cy="22801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200" b="1"/>
            <a:t>$321</a:t>
          </a:r>
        </a:p>
      </cdr:txBody>
    </cdr:sp>
  </cdr:relSizeAnchor>
  <cdr:relSizeAnchor xmlns:cdr="http://schemas.openxmlformats.org/drawingml/2006/chartDrawing">
    <cdr:from>
      <cdr:x>0.49447</cdr:x>
      <cdr:y>0.156</cdr:y>
    </cdr:from>
    <cdr:to>
      <cdr:x>0.56891</cdr:x>
      <cdr:y>0.20905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3354575" y="670517"/>
          <a:ext cx="505015" cy="22801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 b="1"/>
            <a:t>$561</a:t>
          </a:r>
        </a:p>
      </cdr:txBody>
    </cdr:sp>
  </cdr:relSizeAnchor>
  <cdr:relSizeAnchor xmlns:cdr="http://schemas.openxmlformats.org/drawingml/2006/chartDrawing">
    <cdr:from>
      <cdr:x>0.6637</cdr:x>
      <cdr:y>0.12961</cdr:y>
    </cdr:from>
    <cdr:to>
      <cdr:x>0.73814</cdr:x>
      <cdr:y>0.18266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4502662" y="557086"/>
          <a:ext cx="505014" cy="22801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 b="1"/>
            <a:t>$595</a:t>
          </a:r>
        </a:p>
      </cdr:txBody>
    </cdr:sp>
  </cdr:relSizeAnchor>
  <cdr:relSizeAnchor xmlns:cdr="http://schemas.openxmlformats.org/drawingml/2006/chartDrawing">
    <cdr:from>
      <cdr:x>0.83293</cdr:x>
      <cdr:y>0.2452</cdr:y>
    </cdr:from>
    <cdr:to>
      <cdr:x>0.90736</cdr:x>
      <cdr:y>0.29825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5650749" y="1053911"/>
          <a:ext cx="504947" cy="2280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 b="1"/>
            <a:t>$430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223837</xdr:colOff>
      <xdr:row>59</xdr:row>
      <xdr:rowOff>142874</xdr:rowOff>
    </xdr:from>
    <xdr:to>
      <xdr:col>15</xdr:col>
      <xdr:colOff>395287</xdr:colOff>
      <xdr:row>78</xdr:row>
      <xdr:rowOff>161924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1F15106-35F3-4A0A-9343-65A66E04AD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559594</xdr:colOff>
      <xdr:row>59</xdr:row>
      <xdr:rowOff>138111</xdr:rowOff>
    </xdr:from>
    <xdr:to>
      <xdr:col>25</xdr:col>
      <xdr:colOff>461963</xdr:colOff>
      <xdr:row>80</xdr:row>
      <xdr:rowOff>185738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39C089F-63D9-4C42-A49A-27C7008386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 fPrintsWithSheet="0"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0.30734</cdr:x>
      <cdr:y>0.29842</cdr:y>
    </cdr:from>
    <cdr:to>
      <cdr:x>0.38178</cdr:x>
      <cdr:y>0.35147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273838" y="1267727"/>
          <a:ext cx="550747" cy="22536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200" b="1"/>
            <a:t>$321</a:t>
          </a:r>
        </a:p>
      </cdr:txBody>
    </cdr:sp>
  </cdr:relSizeAnchor>
  <cdr:relSizeAnchor xmlns:cdr="http://schemas.openxmlformats.org/drawingml/2006/chartDrawing">
    <cdr:from>
      <cdr:x>0.42995</cdr:x>
      <cdr:y>0.11116</cdr:y>
    </cdr:from>
    <cdr:to>
      <cdr:x>0.50439</cdr:x>
      <cdr:y>0.16421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3267024" y="472225"/>
          <a:ext cx="565637" cy="2253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 b="1"/>
            <a:t>$609</a:t>
          </a:r>
        </a:p>
        <a:p xmlns:a="http://schemas.openxmlformats.org/drawingml/2006/main">
          <a:endParaRPr lang="en-US" sz="1200" b="1"/>
        </a:p>
      </cdr:txBody>
    </cdr:sp>
  </cdr:relSizeAnchor>
  <cdr:relSizeAnchor xmlns:cdr="http://schemas.openxmlformats.org/drawingml/2006/chartDrawing">
    <cdr:from>
      <cdr:x>0.62141</cdr:x>
      <cdr:y>0.27466</cdr:y>
    </cdr:from>
    <cdr:to>
      <cdr:x>0.69798</cdr:x>
      <cdr:y>0.33737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4721860" y="1166794"/>
          <a:ext cx="581823" cy="26640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 b="1"/>
            <a:t>$407</a:t>
          </a:r>
        </a:p>
      </cdr:txBody>
    </cdr:sp>
  </cdr:relSizeAnchor>
  <cdr:relSizeAnchor xmlns:cdr="http://schemas.openxmlformats.org/drawingml/2006/chartDrawing">
    <cdr:from>
      <cdr:x>0.70183</cdr:x>
      <cdr:y>0.31951</cdr:y>
    </cdr:from>
    <cdr:to>
      <cdr:x>0.79141</cdr:x>
      <cdr:y>0.38005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5332893" y="1357328"/>
          <a:ext cx="680680" cy="25718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 b="1"/>
            <a:t>$275</a:t>
          </a:r>
        </a:p>
      </cdr:txBody>
    </cdr:sp>
  </cdr:relSizeAnchor>
  <cdr:relSizeAnchor xmlns:cdr="http://schemas.openxmlformats.org/drawingml/2006/chartDrawing">
    <cdr:from>
      <cdr:x>0.83903</cdr:x>
      <cdr:y>0.27429</cdr:y>
    </cdr:from>
    <cdr:to>
      <cdr:x>0.92861</cdr:x>
      <cdr:y>0.33483</cdr:y>
    </cdr:to>
    <cdr:sp macro="" textlink="">
      <cdr:nvSpPr>
        <cdr:cNvPr id="5" name="TextBox 1">
          <a:extLst xmlns:a="http://schemas.openxmlformats.org/drawingml/2006/main">
            <a:ext uri="{FF2B5EF4-FFF2-40B4-BE49-F238E27FC236}">
              <a16:creationId xmlns:a16="http://schemas.microsoft.com/office/drawing/2014/main" id="{FA0BA490-BDE9-90F4-6B8F-48F0BCDC0D7D}"/>
            </a:ext>
          </a:extLst>
        </cdr:cNvPr>
        <cdr:cNvSpPr txBox="1"/>
      </cdr:nvSpPr>
      <cdr:spPr>
        <a:xfrm xmlns:a="http://schemas.openxmlformats.org/drawingml/2006/main">
          <a:off x="6375400" y="1165225"/>
          <a:ext cx="680680" cy="25718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 b="1"/>
            <a:t>$364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76200</xdr:colOff>
      <xdr:row>34</xdr:row>
      <xdr:rowOff>133350</xdr:rowOff>
    </xdr:from>
    <xdr:to>
      <xdr:col>11</xdr:col>
      <xdr:colOff>0</xdr:colOff>
      <xdr:row>54</xdr:row>
      <xdr:rowOff>109537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409573</xdr:colOff>
      <xdr:row>34</xdr:row>
      <xdr:rowOff>171451</xdr:rowOff>
    </xdr:from>
    <xdr:to>
      <xdr:col>20</xdr:col>
      <xdr:colOff>533400</xdr:colOff>
      <xdr:row>54</xdr:row>
      <xdr:rowOff>133351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66674</xdr:colOff>
      <xdr:row>76</xdr:row>
      <xdr:rowOff>9523</xdr:rowOff>
    </xdr:from>
    <xdr:to>
      <xdr:col>11</xdr:col>
      <xdr:colOff>28575</xdr:colOff>
      <xdr:row>98</xdr:row>
      <xdr:rowOff>9524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85725</xdr:colOff>
      <xdr:row>124</xdr:row>
      <xdr:rowOff>30480</xdr:rowOff>
    </xdr:from>
    <xdr:to>
      <xdr:col>13</xdr:col>
      <xdr:colOff>266700</xdr:colOff>
      <xdr:row>143</xdr:row>
      <xdr:rowOff>66674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1</xdr:colOff>
      <xdr:row>144</xdr:row>
      <xdr:rowOff>0</xdr:rowOff>
    </xdr:from>
    <xdr:to>
      <xdr:col>12</xdr:col>
      <xdr:colOff>327660</xdr:colOff>
      <xdr:row>162</xdr:row>
      <xdr:rowOff>71439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</xdr:col>
      <xdr:colOff>57150</xdr:colOff>
      <xdr:row>55</xdr:row>
      <xdr:rowOff>0</xdr:rowOff>
    </xdr:from>
    <xdr:to>
      <xdr:col>11</xdr:col>
      <xdr:colOff>28577</xdr:colOff>
      <xdr:row>74</xdr:row>
      <xdr:rowOff>152400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11</xdr:col>
      <xdr:colOff>409575</xdr:colOff>
      <xdr:row>55</xdr:row>
      <xdr:rowOff>0</xdr:rowOff>
    </xdr:from>
    <xdr:to>
      <xdr:col>20</xdr:col>
      <xdr:colOff>533402</xdr:colOff>
      <xdr:row>73</xdr:row>
      <xdr:rowOff>19050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</xdr:col>
      <xdr:colOff>14286</xdr:colOff>
      <xdr:row>76</xdr:row>
      <xdr:rowOff>23812</xdr:rowOff>
    </xdr:from>
    <xdr:to>
      <xdr:col>19</xdr:col>
      <xdr:colOff>327660</xdr:colOff>
      <xdr:row>98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365760</xdr:colOff>
      <xdr:row>163</xdr:row>
      <xdr:rowOff>0</xdr:rowOff>
    </xdr:from>
    <xdr:to>
      <xdr:col>17</xdr:col>
      <xdr:colOff>76200</xdr:colOff>
      <xdr:row>181</xdr:row>
      <xdr:rowOff>71439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8A6E91E6-7E17-44AE-8E2E-D98A01D710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388620</xdr:colOff>
      <xdr:row>182</xdr:row>
      <xdr:rowOff>45720</xdr:rowOff>
    </xdr:from>
    <xdr:to>
      <xdr:col>10</xdr:col>
      <xdr:colOff>144780</xdr:colOff>
      <xdr:row>205</xdr:row>
      <xdr:rowOff>22860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89D9B4D4-14A0-42BD-A174-C78E592DDB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10</xdr:col>
      <xdr:colOff>586740</xdr:colOff>
      <xdr:row>182</xdr:row>
      <xdr:rowOff>76200</xdr:rowOff>
    </xdr:from>
    <xdr:to>
      <xdr:col>20</xdr:col>
      <xdr:colOff>53340</xdr:colOff>
      <xdr:row>205</xdr:row>
      <xdr:rowOff>53340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15E041EF-5883-4E11-AABA-E4ED4EA39A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18</xdr:col>
      <xdr:colOff>556260</xdr:colOff>
      <xdr:row>192</xdr:row>
      <xdr:rowOff>106680</xdr:rowOff>
    </xdr:from>
    <xdr:to>
      <xdr:col>19</xdr:col>
      <xdr:colOff>213360</xdr:colOff>
      <xdr:row>196</xdr:row>
      <xdr:rowOff>30480</xdr:rowOff>
    </xdr:to>
    <xdr:sp macro="" textlink="">
      <xdr:nvSpPr>
        <xdr:cNvPr id="2" name="Right Brace 1">
          <a:extLst>
            <a:ext uri="{FF2B5EF4-FFF2-40B4-BE49-F238E27FC236}">
              <a16:creationId xmlns:a16="http://schemas.microsoft.com/office/drawing/2014/main" id="{F2D8976D-B109-3362-E882-19C7EA558933}"/>
            </a:ext>
          </a:extLst>
        </xdr:cNvPr>
        <xdr:cNvSpPr/>
      </xdr:nvSpPr>
      <xdr:spPr>
        <a:xfrm rot="10800000">
          <a:off x="11559540" y="35631120"/>
          <a:ext cx="266700" cy="655320"/>
        </a:xfrm>
        <a:prstGeom prst="rightBrace">
          <a:avLst>
            <a:gd name="adj1" fmla="val 8333"/>
            <a:gd name="adj2" fmla="val 24699"/>
          </a:avLst>
        </a:prstGeom>
        <a:noFill/>
        <a:ln w="25400">
          <a:solidFill>
            <a:schemeClr val="bg1">
              <a:lumMod val="6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0.10535</cdr:x>
      <cdr:y>0.43687</cdr:y>
    </cdr:from>
    <cdr:to>
      <cdr:x>0.25043</cdr:x>
      <cdr:y>0.5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581027" y="1647824"/>
          <a:ext cx="800099" cy="2381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/>
            <a:t>Mailboxes</a:t>
          </a:r>
        </a:p>
      </cdr:txBody>
    </cdr:sp>
  </cdr:relSizeAnchor>
  <cdr:relSizeAnchor xmlns:cdr="http://schemas.openxmlformats.org/drawingml/2006/chartDrawing">
    <cdr:from>
      <cdr:x>0.31434</cdr:x>
      <cdr:y>0.4697</cdr:y>
    </cdr:from>
    <cdr:to>
      <cdr:x>0.43005</cdr:x>
      <cdr:y>0.60354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1733552" y="1771648"/>
          <a:ext cx="638175" cy="50482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/>
            <a:t>Fence Paint</a:t>
          </a:r>
        </a:p>
      </cdr:txBody>
    </cdr:sp>
  </cdr:relSizeAnchor>
  <cdr:relSizeAnchor xmlns:cdr="http://schemas.openxmlformats.org/drawingml/2006/chartDrawing">
    <cdr:from>
      <cdr:x>0.30927</cdr:x>
      <cdr:y>0.41203</cdr:y>
    </cdr:from>
    <cdr:to>
      <cdr:x>0.4509</cdr:x>
      <cdr:y>0.49789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1763377" y="1491360"/>
          <a:ext cx="807527" cy="31077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/>
            <a:t>Landscape</a:t>
          </a:r>
        </a:p>
      </cdr:txBody>
    </cdr:sp>
  </cdr:relSizeAnchor>
  <cdr:relSizeAnchor xmlns:cdr="http://schemas.openxmlformats.org/drawingml/2006/chartDrawing">
    <cdr:from>
      <cdr:x>0.51123</cdr:x>
      <cdr:y>0.23485</cdr:y>
    </cdr:from>
    <cdr:to>
      <cdr:x>0.67703</cdr:x>
      <cdr:y>0.47727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2819402" y="885824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0.36097</cdr:x>
      <cdr:y>0.35354</cdr:y>
    </cdr:from>
    <cdr:to>
      <cdr:x>0.54231</cdr:x>
      <cdr:y>0.41667</cdr:y>
    </cdr:to>
    <cdr:sp macro="" textlink="">
      <cdr:nvSpPr>
        <cdr:cNvPr id="7" name="TextBox 6"/>
        <cdr:cNvSpPr txBox="1"/>
      </cdr:nvSpPr>
      <cdr:spPr>
        <a:xfrm xmlns:a="http://schemas.openxmlformats.org/drawingml/2006/main">
          <a:off x="1990727" y="1333499"/>
          <a:ext cx="1000125" cy="2381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/>
            <a:t>Fence Maint.</a:t>
          </a:r>
        </a:p>
      </cdr:txBody>
    </cdr:sp>
  </cdr:relSizeAnchor>
  <cdr:relSizeAnchor xmlns:cdr="http://schemas.openxmlformats.org/drawingml/2006/chartDrawing">
    <cdr:from>
      <cdr:x>0.2867</cdr:x>
      <cdr:y>0.27778</cdr:y>
    </cdr:from>
    <cdr:to>
      <cdr:x>0.59586</cdr:x>
      <cdr:y>0.34848</cdr:y>
    </cdr:to>
    <cdr:sp macro="" textlink="">
      <cdr:nvSpPr>
        <cdr:cNvPr id="8" name="TextBox 7"/>
        <cdr:cNvSpPr txBox="1"/>
      </cdr:nvSpPr>
      <cdr:spPr>
        <a:xfrm xmlns:a="http://schemas.openxmlformats.org/drawingml/2006/main">
          <a:off x="1581152" y="1047749"/>
          <a:ext cx="1704975" cy="266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/>
            <a:t>Landscape &amp; Storm Recov.</a:t>
          </a:r>
        </a:p>
      </cdr:txBody>
    </cdr:sp>
  </cdr:relSizeAnchor>
  <cdr:relSizeAnchor xmlns:cdr="http://schemas.openxmlformats.org/drawingml/2006/chartDrawing">
    <cdr:from>
      <cdr:x>0.55932</cdr:x>
      <cdr:y>0.17929</cdr:y>
    </cdr:from>
    <cdr:to>
      <cdr:x>0.74067</cdr:x>
      <cdr:y>0.3005</cdr:y>
    </cdr:to>
    <cdr:sp macro="" textlink="">
      <cdr:nvSpPr>
        <cdr:cNvPr id="10" name="TextBox 9"/>
        <cdr:cNvSpPr txBox="1"/>
      </cdr:nvSpPr>
      <cdr:spPr>
        <a:xfrm xmlns:a="http://schemas.openxmlformats.org/drawingml/2006/main">
          <a:off x="3189058" y="648934"/>
          <a:ext cx="1033998" cy="4387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/>
            <a:t>Fence Replacement</a:t>
          </a:r>
        </a:p>
      </cdr:txBody>
    </cdr:sp>
  </cdr:relSizeAnchor>
  <cdr:relSizeAnchor xmlns:cdr="http://schemas.openxmlformats.org/drawingml/2006/chartDrawing">
    <cdr:from>
      <cdr:x>0.73242</cdr:x>
      <cdr:y>0.17424</cdr:y>
    </cdr:from>
    <cdr:to>
      <cdr:x>0.93622</cdr:x>
      <cdr:y>0.29545</cdr:y>
    </cdr:to>
    <cdr:sp macro="" textlink="">
      <cdr:nvSpPr>
        <cdr:cNvPr id="11" name="TextBox 10"/>
        <cdr:cNvSpPr txBox="1"/>
      </cdr:nvSpPr>
      <cdr:spPr>
        <a:xfrm xmlns:a="http://schemas.openxmlformats.org/drawingml/2006/main">
          <a:off x="4176037" y="630656"/>
          <a:ext cx="1162000" cy="4387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/>
            <a:t>Gravel Weeding</a:t>
          </a:r>
          <a:r>
            <a:rPr lang="en-US" sz="1100" baseline="0"/>
            <a:t> and Irrig. Repair</a:t>
          </a:r>
          <a:endParaRPr lang="en-US" sz="1100"/>
        </a:p>
      </cdr:txBody>
    </cdr:sp>
  </cdr:relSizeAnchor>
  <cdr:relSizeAnchor xmlns:cdr="http://schemas.openxmlformats.org/drawingml/2006/chartDrawing">
    <cdr:from>
      <cdr:x>0.38292</cdr:x>
      <cdr:y>0.54167</cdr:y>
    </cdr:from>
    <cdr:to>
      <cdr:x>0.42092</cdr:x>
      <cdr:y>0.54672</cdr:y>
    </cdr:to>
    <cdr:cxnSp macro="">
      <cdr:nvCxnSpPr>
        <cdr:cNvPr id="12" name="Straight Arrow Connector 11">
          <a:extLst xmlns:a="http://schemas.openxmlformats.org/drawingml/2006/main">
            <a:ext uri="{FF2B5EF4-FFF2-40B4-BE49-F238E27FC236}">
              <a16:creationId xmlns:a16="http://schemas.microsoft.com/office/drawing/2014/main" id="{AA77498E-39F8-4894-AD6C-DF8B3E40D978}"/>
            </a:ext>
          </a:extLst>
        </cdr:cNvPr>
        <cdr:cNvCxnSpPr/>
      </cdr:nvCxnSpPr>
      <cdr:spPr>
        <a:xfrm xmlns:a="http://schemas.openxmlformats.org/drawingml/2006/main">
          <a:off x="2183286" y="1960575"/>
          <a:ext cx="216663" cy="18278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ysClr val="windowText" lastClr="000000"/>
          </a:solidFill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0.40355</cdr:x>
      <cdr:y>0.46844</cdr:y>
    </cdr:from>
    <cdr:to>
      <cdr:x>0.43602</cdr:x>
      <cdr:y>0.49789</cdr:y>
    </cdr:to>
    <cdr:cxnSp macro="">
      <cdr:nvCxnSpPr>
        <cdr:cNvPr id="14" name="Straight Arrow Connector 13">
          <a:extLst xmlns:a="http://schemas.openxmlformats.org/drawingml/2006/main">
            <a:ext uri="{FF2B5EF4-FFF2-40B4-BE49-F238E27FC236}">
              <a16:creationId xmlns:a16="http://schemas.microsoft.com/office/drawing/2014/main" id="{F2F41DB3-679E-4D13-A2BD-576E9477B2F9}"/>
            </a:ext>
          </a:extLst>
        </cdr:cNvPr>
        <cdr:cNvCxnSpPr/>
      </cdr:nvCxnSpPr>
      <cdr:spPr>
        <a:xfrm xmlns:a="http://schemas.openxmlformats.org/drawingml/2006/main">
          <a:off x="2300906" y="1695520"/>
          <a:ext cx="185133" cy="106595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ysClr val="windowText" lastClr="000000"/>
          </a:solidFill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0.47344</cdr:x>
      <cdr:y>0.41368</cdr:y>
    </cdr:from>
    <cdr:to>
      <cdr:x>0.50428</cdr:x>
      <cdr:y>0.4516</cdr:y>
    </cdr:to>
    <cdr:cxnSp macro="">
      <cdr:nvCxnSpPr>
        <cdr:cNvPr id="16" name="Straight Arrow Connector 15">
          <a:extLst xmlns:a="http://schemas.openxmlformats.org/drawingml/2006/main">
            <a:ext uri="{FF2B5EF4-FFF2-40B4-BE49-F238E27FC236}">
              <a16:creationId xmlns:a16="http://schemas.microsoft.com/office/drawing/2014/main" id="{6B3FA03B-412F-4A81-BB40-78956C813B87}"/>
            </a:ext>
          </a:extLst>
        </cdr:cNvPr>
        <cdr:cNvCxnSpPr/>
      </cdr:nvCxnSpPr>
      <cdr:spPr>
        <a:xfrm xmlns:a="http://schemas.openxmlformats.org/drawingml/2006/main">
          <a:off x="2699401" y="1497332"/>
          <a:ext cx="175839" cy="137251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ysClr val="windowText" lastClr="000000"/>
          </a:solidFill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0.48741</cdr:x>
      <cdr:y>0.34301</cdr:y>
    </cdr:from>
    <cdr:to>
      <cdr:x>0.52541</cdr:x>
      <cdr:y>0.36826</cdr:y>
    </cdr:to>
    <cdr:cxnSp macro="">
      <cdr:nvCxnSpPr>
        <cdr:cNvPr id="19" name="Straight Arrow Connector 18">
          <a:extLst xmlns:a="http://schemas.openxmlformats.org/drawingml/2006/main">
            <a:ext uri="{FF2B5EF4-FFF2-40B4-BE49-F238E27FC236}">
              <a16:creationId xmlns:a16="http://schemas.microsoft.com/office/drawing/2014/main" id="{B5A92296-BC67-45F8-9EAC-D7874151D24A}"/>
            </a:ext>
          </a:extLst>
        </cdr:cNvPr>
        <cdr:cNvCxnSpPr/>
      </cdr:nvCxnSpPr>
      <cdr:spPr>
        <a:xfrm xmlns:a="http://schemas.openxmlformats.org/drawingml/2006/main">
          <a:off x="2779048" y="1241529"/>
          <a:ext cx="216663" cy="91392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ysClr val="windowText" lastClr="000000"/>
          </a:solidFill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0.65787</cdr:x>
      <cdr:y>0.32105</cdr:y>
    </cdr:from>
    <cdr:to>
      <cdr:x>0.68254</cdr:x>
      <cdr:y>0.49032</cdr:y>
    </cdr:to>
    <cdr:cxnSp macro="">
      <cdr:nvCxnSpPr>
        <cdr:cNvPr id="20" name="Straight Arrow Connector 19">
          <a:extLst xmlns:a="http://schemas.openxmlformats.org/drawingml/2006/main">
            <a:ext uri="{FF2B5EF4-FFF2-40B4-BE49-F238E27FC236}">
              <a16:creationId xmlns:a16="http://schemas.microsoft.com/office/drawing/2014/main" id="{8ADAD52B-EF1B-410B-A78F-F3877BF756B9}"/>
            </a:ext>
          </a:extLst>
        </cdr:cNvPr>
        <cdr:cNvCxnSpPr/>
      </cdr:nvCxnSpPr>
      <cdr:spPr>
        <a:xfrm xmlns:a="http://schemas.openxmlformats.org/drawingml/2006/main">
          <a:off x="3750956" y="1162048"/>
          <a:ext cx="140660" cy="612673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ysClr val="windowText" lastClr="000000"/>
          </a:solidFill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0.67884</cdr:x>
      <cdr:y>0.29882</cdr:y>
    </cdr:from>
    <cdr:to>
      <cdr:x>0.73468</cdr:x>
      <cdr:y>0.33249</cdr:y>
    </cdr:to>
    <cdr:cxnSp macro="">
      <cdr:nvCxnSpPr>
        <cdr:cNvPr id="22" name="Straight Arrow Connector 21">
          <a:extLst xmlns:a="http://schemas.openxmlformats.org/drawingml/2006/main">
            <a:ext uri="{FF2B5EF4-FFF2-40B4-BE49-F238E27FC236}">
              <a16:creationId xmlns:a16="http://schemas.microsoft.com/office/drawing/2014/main" id="{9742DE79-86CF-4BA8-A32D-CAAF616C82B0}"/>
            </a:ext>
          </a:extLst>
        </cdr:cNvPr>
        <cdr:cNvCxnSpPr/>
      </cdr:nvCxnSpPr>
      <cdr:spPr>
        <a:xfrm xmlns:a="http://schemas.openxmlformats.org/drawingml/2006/main">
          <a:off x="3870525" y="1081562"/>
          <a:ext cx="318381" cy="121868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ysClr val="windowText" lastClr="000000"/>
          </a:solidFill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0.77467</cdr:x>
      <cdr:y>0.29251</cdr:y>
    </cdr:from>
    <cdr:to>
      <cdr:x>0.81152</cdr:x>
      <cdr:y>0.32871</cdr:y>
    </cdr:to>
    <cdr:cxnSp macro="">
      <cdr:nvCxnSpPr>
        <cdr:cNvPr id="29" name="Straight Arrow Connector 28">
          <a:extLst xmlns:a="http://schemas.openxmlformats.org/drawingml/2006/main">
            <a:ext uri="{FF2B5EF4-FFF2-40B4-BE49-F238E27FC236}">
              <a16:creationId xmlns:a16="http://schemas.microsoft.com/office/drawing/2014/main" id="{F67D3B8E-4598-4E1D-8CF8-D72A19C0657A}"/>
            </a:ext>
          </a:extLst>
        </cdr:cNvPr>
        <cdr:cNvCxnSpPr/>
      </cdr:nvCxnSpPr>
      <cdr:spPr>
        <a:xfrm xmlns:a="http://schemas.openxmlformats.org/drawingml/2006/main">
          <a:off x="4416890" y="1058723"/>
          <a:ext cx="210107" cy="131026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ysClr val="windowText" lastClr="000000"/>
          </a:solidFill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0.8583</cdr:x>
      <cdr:y>0.39474</cdr:y>
    </cdr:from>
    <cdr:to>
      <cdr:x>0.87571</cdr:x>
      <cdr:y>0.48485</cdr:y>
    </cdr:to>
    <cdr:cxnSp macro="">
      <cdr:nvCxnSpPr>
        <cdr:cNvPr id="34" name="Straight Arrow Connector 33">
          <a:extLst xmlns:a="http://schemas.openxmlformats.org/drawingml/2006/main">
            <a:ext uri="{FF2B5EF4-FFF2-40B4-BE49-F238E27FC236}">
              <a16:creationId xmlns:a16="http://schemas.microsoft.com/office/drawing/2014/main" id="{1AFB0CFE-02E9-4227-8F96-2F1C0A92D822}"/>
            </a:ext>
          </a:extLst>
        </cdr:cNvPr>
        <cdr:cNvCxnSpPr/>
      </cdr:nvCxnSpPr>
      <cdr:spPr>
        <a:xfrm xmlns:a="http://schemas.openxmlformats.org/drawingml/2006/main" flipH="1">
          <a:off x="4893713" y="1428760"/>
          <a:ext cx="99266" cy="326153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ysClr val="windowText" lastClr="000000"/>
          </a:solidFill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0.85032</cdr:x>
      <cdr:y>0.28315</cdr:y>
    </cdr:from>
    <cdr:to>
      <cdr:x>1</cdr:x>
      <cdr:y>0.41833</cdr:y>
    </cdr:to>
    <cdr:sp macro="" textlink="">
      <cdr:nvSpPr>
        <cdr:cNvPr id="36" name="TextBox 35"/>
        <cdr:cNvSpPr txBox="1"/>
      </cdr:nvSpPr>
      <cdr:spPr>
        <a:xfrm xmlns:a="http://schemas.openxmlformats.org/drawingml/2006/main">
          <a:off x="4848238" y="1024877"/>
          <a:ext cx="853429" cy="48928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/>
            <a:t>Treehouses</a:t>
          </a:r>
          <a:r>
            <a:rPr lang="en-US" sz="1100" baseline="0"/>
            <a:t> and Gravel</a:t>
          </a:r>
        </a:p>
      </cdr:txBody>
    </cdr:sp>
  </cdr:relSizeAnchor>
  <cdr:relSizeAnchor xmlns:cdr="http://schemas.openxmlformats.org/drawingml/2006/chartDrawing">
    <cdr:from>
      <cdr:x>0.22246</cdr:x>
      <cdr:y>0.47264</cdr:y>
    </cdr:from>
    <cdr:to>
      <cdr:x>0.26449</cdr:x>
      <cdr:y>0.47348</cdr:y>
    </cdr:to>
    <cdr:cxnSp macro="">
      <cdr:nvCxnSpPr>
        <cdr:cNvPr id="54" name="Straight Arrow Connector 53">
          <a:extLst xmlns:a="http://schemas.openxmlformats.org/drawingml/2006/main">
            <a:ext uri="{FF2B5EF4-FFF2-40B4-BE49-F238E27FC236}">
              <a16:creationId xmlns:a16="http://schemas.microsoft.com/office/drawing/2014/main" id="{709A4F10-2BA6-4A66-A67A-C6A9A7D78970}"/>
            </a:ext>
          </a:extLst>
        </cdr:cNvPr>
        <cdr:cNvCxnSpPr/>
      </cdr:nvCxnSpPr>
      <cdr:spPr>
        <a:xfrm xmlns:a="http://schemas.openxmlformats.org/drawingml/2006/main">
          <a:off x="1268417" y="1710738"/>
          <a:ext cx="239641" cy="3040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ysClr val="windowText" lastClr="000000"/>
          </a:solidFill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0.56744</cdr:x>
      <cdr:y>0.24876</cdr:y>
    </cdr:from>
    <cdr:to>
      <cdr:x>0.69102</cdr:x>
      <cdr:y>0.31733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515952" y="994910"/>
          <a:ext cx="547940" cy="274249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200"/>
            <a:t>$375</a:t>
          </a:r>
        </a:p>
      </cdr:txBody>
    </cdr:sp>
  </cdr:relSizeAnchor>
  <cdr:relSizeAnchor xmlns:cdr="http://schemas.openxmlformats.org/drawingml/2006/chartDrawing">
    <cdr:from>
      <cdr:x>0.82314</cdr:x>
      <cdr:y>0.16227</cdr:y>
    </cdr:from>
    <cdr:to>
      <cdr:x>0.94672</cdr:x>
      <cdr:y>0.23084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3649729" y="649023"/>
          <a:ext cx="547940" cy="274249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/>
            <a:t>$430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4.bin"/><Relationship Id="rId4" Type="http://schemas.openxmlformats.org/officeDocument/2006/relationships/comments" Target="../comments6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Relationship Id="rId4" Type="http://schemas.openxmlformats.org/officeDocument/2006/relationships/comments" Target="../comments7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Relationship Id="rId4" Type="http://schemas.openxmlformats.org/officeDocument/2006/relationships/comments" Target="../comments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0.bin"/><Relationship Id="rId4" Type="http://schemas.openxmlformats.org/officeDocument/2006/relationships/comments" Target="../comments9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2.bin"/><Relationship Id="rId4" Type="http://schemas.openxmlformats.org/officeDocument/2006/relationships/comments" Target="../comments10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CC66FF"/>
    <pageSetUpPr fitToPage="1"/>
  </sheetPr>
  <dimension ref="A1:L208"/>
  <sheetViews>
    <sheetView showGridLines="0" showRuler="0" topLeftCell="A49" zoomScaleNormal="100" workbookViewId="0">
      <selection activeCell="B29" sqref="B29"/>
    </sheetView>
  </sheetViews>
  <sheetFormatPr defaultColWidth="8.6328125" defaultRowHeight="15.5" x14ac:dyDescent="0.35"/>
  <cols>
    <col min="1" max="1" width="13.6328125" style="1" customWidth="1"/>
    <col min="2" max="2" width="37.6328125" style="1" customWidth="1"/>
    <col min="3" max="5" width="13.6328125" style="9" customWidth="1"/>
    <col min="6" max="7" width="13.6328125" style="1" customWidth="1"/>
    <col min="8" max="9" width="13.6328125" style="2" customWidth="1"/>
    <col min="10" max="10" width="14.453125" style="2" customWidth="1"/>
    <col min="11" max="12" width="13.6328125" style="1" customWidth="1"/>
    <col min="13" max="16384" width="8.6328125" style="1"/>
  </cols>
  <sheetData>
    <row r="1" spans="1:12" ht="20.25" customHeight="1" x14ac:dyDescent="0.45">
      <c r="A1" s="110" t="s">
        <v>176</v>
      </c>
      <c r="C1" s="478" t="s">
        <v>61</v>
      </c>
      <c r="D1" s="479"/>
      <c r="E1" s="479"/>
      <c r="F1" s="479"/>
      <c r="G1" s="479"/>
      <c r="H1" s="479"/>
      <c r="I1" s="480"/>
      <c r="J1" s="346" t="s">
        <v>324</v>
      </c>
      <c r="K1" s="132" t="s">
        <v>62</v>
      </c>
      <c r="L1" s="75" t="s">
        <v>62</v>
      </c>
    </row>
    <row r="2" spans="1:12" ht="16.5" customHeight="1" x14ac:dyDescent="0.35">
      <c r="C2" s="65">
        <v>2014</v>
      </c>
      <c r="D2" s="65">
        <v>2015</v>
      </c>
      <c r="E2" s="182">
        <v>2016</v>
      </c>
      <c r="F2" s="75">
        <v>2017</v>
      </c>
      <c r="G2" s="75">
        <v>2018</v>
      </c>
      <c r="H2" s="182">
        <v>2019</v>
      </c>
      <c r="I2" s="182">
        <v>2020</v>
      </c>
      <c r="J2" s="347">
        <v>2019</v>
      </c>
      <c r="K2" s="191">
        <v>2019</v>
      </c>
      <c r="L2" s="329">
        <v>2020</v>
      </c>
    </row>
    <row r="3" spans="1:12" x14ac:dyDescent="0.35">
      <c r="A3" s="1" t="s">
        <v>57</v>
      </c>
      <c r="C3" s="66"/>
      <c r="D3" s="74">
        <f>+C32</f>
        <v>28293.22</v>
      </c>
      <c r="E3" s="74">
        <f>+D32</f>
        <v>25332.04</v>
      </c>
      <c r="F3" s="74">
        <f>E32</f>
        <v>19783.100000000002</v>
      </c>
      <c r="G3" s="74">
        <f>+F32</f>
        <v>23160.1</v>
      </c>
      <c r="H3" s="194">
        <f>+G32</f>
        <v>23374.07</v>
      </c>
      <c r="I3" s="194">
        <f>+H32</f>
        <v>17009.909999999996</v>
      </c>
      <c r="J3" s="348"/>
      <c r="K3" s="166">
        <f>+G32</f>
        <v>23374.07</v>
      </c>
      <c r="L3" s="330"/>
    </row>
    <row r="4" spans="1:12" x14ac:dyDescent="0.35">
      <c r="A4" s="1" t="s">
        <v>58</v>
      </c>
      <c r="C4" s="67"/>
      <c r="D4" s="67">
        <f t="shared" ref="D4:I4" si="0">+D5-D3</f>
        <v>0</v>
      </c>
      <c r="E4" s="67">
        <f t="shared" si="0"/>
        <v>0</v>
      </c>
      <c r="F4" s="67">
        <f t="shared" si="0"/>
        <v>0</v>
      </c>
      <c r="G4" s="79">
        <f t="shared" si="0"/>
        <v>0</v>
      </c>
      <c r="H4" s="195">
        <f t="shared" si="0"/>
        <v>0</v>
      </c>
      <c r="I4" s="195">
        <f t="shared" si="0"/>
        <v>0</v>
      </c>
      <c r="J4" s="82"/>
      <c r="K4" s="167">
        <f>+K5-K3</f>
        <v>-4</v>
      </c>
      <c r="L4" s="331"/>
    </row>
    <row r="5" spans="1:12" x14ac:dyDescent="0.35">
      <c r="A5" s="37" t="s">
        <v>1</v>
      </c>
      <c r="B5" s="38"/>
      <c r="C5" s="68">
        <f>+'2014 Ck Reg'!P2</f>
        <v>26746.75</v>
      </c>
      <c r="D5" s="68">
        <f>+'2015 Ck Reg'!P2</f>
        <v>28293.22</v>
      </c>
      <c r="E5" s="68">
        <f>+'2016 Ck Reg'!P2</f>
        <v>25332.04</v>
      </c>
      <c r="F5" s="161">
        <f>+'2017 Ck Reg'!N2</f>
        <v>19783.099999999999</v>
      </c>
      <c r="G5" s="163">
        <f>+'2018 Ck Reg'!M2</f>
        <v>23160.1</v>
      </c>
      <c r="H5" s="196">
        <f>+'2019 ByMo'!D2</f>
        <v>23374.07</v>
      </c>
      <c r="I5" s="196">
        <f>+'2020 ByMo'!D2</f>
        <v>17009.909999999996</v>
      </c>
      <c r="J5" s="68">
        <f>+H5</f>
        <v>23374.07</v>
      </c>
      <c r="K5" s="168">
        <v>23370.07</v>
      </c>
      <c r="L5" s="332">
        <v>17422.96</v>
      </c>
    </row>
    <row r="6" spans="1:12" ht="6.9" customHeight="1" x14ac:dyDescent="0.35">
      <c r="A6" s="37"/>
      <c r="B6" s="38"/>
      <c r="C6" s="68"/>
      <c r="D6" s="68"/>
      <c r="E6" s="68"/>
      <c r="F6" s="76"/>
      <c r="G6" s="68"/>
      <c r="H6" s="197"/>
      <c r="I6" s="197"/>
      <c r="J6" s="177"/>
      <c r="K6" s="169"/>
      <c r="L6" s="333"/>
    </row>
    <row r="7" spans="1:12" x14ac:dyDescent="0.35">
      <c r="A7" s="24" t="s">
        <v>44</v>
      </c>
      <c r="B7" s="38"/>
      <c r="C7" s="68"/>
      <c r="D7" s="68"/>
      <c r="E7" s="68"/>
      <c r="F7" s="76"/>
      <c r="G7" s="68"/>
      <c r="H7" s="197"/>
      <c r="I7" s="197"/>
      <c r="J7" s="177"/>
      <c r="K7" s="169"/>
      <c r="L7" s="333"/>
    </row>
    <row r="8" spans="1:12" x14ac:dyDescent="0.35">
      <c r="A8" s="1" t="s">
        <v>228</v>
      </c>
      <c r="C8" s="82">
        <v>12000</v>
      </c>
      <c r="D8" s="82">
        <f>+'2015 Ck Reg'!E49</f>
        <v>10875</v>
      </c>
      <c r="E8" s="82">
        <f>+'2016 ByMo'!C5</f>
        <v>13500</v>
      </c>
      <c r="F8" s="98">
        <f>+'2017 Ck Reg'!E54</f>
        <v>11245</v>
      </c>
      <c r="G8" s="81">
        <f>+'2018 Ck Reg'!D56</f>
        <v>10500</v>
      </c>
      <c r="H8" s="194">
        <f>+'2019 ByMo'!D5</f>
        <v>13125</v>
      </c>
      <c r="I8" s="194">
        <f>+'2020 ByMo'!D5</f>
        <v>13760</v>
      </c>
      <c r="J8" s="82">
        <v>13125</v>
      </c>
      <c r="K8" s="170">
        <v>12000</v>
      </c>
      <c r="L8" s="334">
        <f>+'2020 ByMo'!C5</f>
        <v>13760</v>
      </c>
    </row>
    <row r="9" spans="1:12" ht="17" x14ac:dyDescent="0.5">
      <c r="A9" s="1" t="s">
        <v>73</v>
      </c>
      <c r="C9" s="69">
        <v>4.17</v>
      </c>
      <c r="D9" s="69">
        <f>+'2015 Ck Reg'!F49</f>
        <v>3.1700000000000004</v>
      </c>
      <c r="E9" s="69">
        <f>+'2016 ByMo'!C6</f>
        <v>0.04</v>
      </c>
      <c r="F9" s="80">
        <v>0</v>
      </c>
      <c r="G9" s="80">
        <v>0</v>
      </c>
      <c r="H9" s="198">
        <v>0</v>
      </c>
      <c r="I9" s="198">
        <v>0</v>
      </c>
      <c r="J9" s="97">
        <v>0</v>
      </c>
      <c r="K9" s="171">
        <v>0</v>
      </c>
      <c r="L9" s="335">
        <v>0</v>
      </c>
    </row>
    <row r="10" spans="1:12" x14ac:dyDescent="0.35">
      <c r="A10" s="94" t="s">
        <v>49</v>
      </c>
      <c r="C10" s="96">
        <f t="shared" ref="C10:H10" si="1">+C8+C9</f>
        <v>12004.17</v>
      </c>
      <c r="D10" s="96">
        <f t="shared" si="1"/>
        <v>10878.17</v>
      </c>
      <c r="E10" s="96">
        <f t="shared" si="1"/>
        <v>13500.04</v>
      </c>
      <c r="F10" s="96">
        <f t="shared" si="1"/>
        <v>11245</v>
      </c>
      <c r="G10" s="96">
        <f t="shared" si="1"/>
        <v>10500</v>
      </c>
      <c r="H10" s="96">
        <f t="shared" si="1"/>
        <v>13125</v>
      </c>
      <c r="I10" s="96">
        <f t="shared" ref="I10" si="2">+I8+I9</f>
        <v>13760</v>
      </c>
      <c r="J10" s="96">
        <v>13125</v>
      </c>
      <c r="K10" s="170">
        <f>+K8+K9</f>
        <v>12000</v>
      </c>
      <c r="L10" s="334">
        <f>+L8+L9</f>
        <v>13760</v>
      </c>
    </row>
    <row r="11" spans="1:12" ht="6.9" customHeight="1" x14ac:dyDescent="0.35">
      <c r="C11" s="71"/>
      <c r="D11" s="71"/>
      <c r="E11" s="71"/>
      <c r="F11" s="78"/>
      <c r="G11" s="81"/>
      <c r="H11" s="194"/>
      <c r="I11" s="194"/>
      <c r="J11" s="82"/>
      <c r="K11" s="170"/>
      <c r="L11" s="334"/>
    </row>
    <row r="12" spans="1:12" x14ac:dyDescent="0.35">
      <c r="A12" s="24" t="s">
        <v>3</v>
      </c>
      <c r="C12" s="71"/>
      <c r="D12" s="71"/>
      <c r="E12" s="71"/>
      <c r="F12" s="78"/>
      <c r="G12" s="81"/>
      <c r="H12" s="194"/>
      <c r="I12" s="194"/>
      <c r="J12" s="82"/>
      <c r="K12" s="170"/>
      <c r="L12" s="334"/>
    </row>
    <row r="13" spans="1:12" x14ac:dyDescent="0.35">
      <c r="A13" s="1" t="s">
        <v>272</v>
      </c>
      <c r="B13" s="1" t="s">
        <v>273</v>
      </c>
      <c r="C13" s="71">
        <f>+'2014 ByMo'!C11</f>
        <v>6231.7199999999975</v>
      </c>
      <c r="D13" s="71">
        <f>+'2015 ByMo'!C11</f>
        <v>6231.739999999998</v>
      </c>
      <c r="E13" s="71">
        <f>+'2016 ByMo'!C12</f>
        <v>6571.3300000000008</v>
      </c>
      <c r="F13" s="98">
        <f>-'2017 Ck Reg'!G54</f>
        <v>6448.4499999999989</v>
      </c>
      <c r="G13" s="82">
        <f>-'2018 Ck Reg'!F56</f>
        <v>8002.46</v>
      </c>
      <c r="H13" s="194">
        <f>+'2019 ByMo'!D9</f>
        <v>8142.25</v>
      </c>
      <c r="I13" s="194">
        <f>+'2020 ByMo'!D9</f>
        <v>6600</v>
      </c>
      <c r="J13" s="82">
        <v>8142.25</v>
      </c>
      <c r="K13" s="170">
        <v>10200</v>
      </c>
      <c r="L13" s="334">
        <f>+'2020 ByMo'!C9</f>
        <v>6660</v>
      </c>
    </row>
    <row r="14" spans="1:12" x14ac:dyDescent="0.35">
      <c r="B14" s="1" t="s">
        <v>277</v>
      </c>
      <c r="C14" s="71">
        <f>+'2014 ByMo'!C12</f>
        <v>45</v>
      </c>
      <c r="D14" s="71">
        <f>+'2015 ByMo'!C12</f>
        <v>45</v>
      </c>
      <c r="E14" s="71">
        <f>+'2016 ByMo'!C13</f>
        <v>45</v>
      </c>
      <c r="F14" s="98"/>
      <c r="G14" s="82"/>
      <c r="H14" s="194">
        <f>+'2019 ByMo'!D10</f>
        <v>432.57000000000005</v>
      </c>
      <c r="I14" s="194">
        <f>+'2020 ByMo'!D10</f>
        <v>726.24999999999989</v>
      </c>
      <c r="J14" s="82">
        <v>432.57000000000005</v>
      </c>
      <c r="K14" s="170">
        <v>500</v>
      </c>
      <c r="L14" s="334">
        <f>+'2020 ByMo'!C10</f>
        <v>1480</v>
      </c>
    </row>
    <row r="15" spans="1:12" x14ac:dyDescent="0.35">
      <c r="B15" s="1" t="s">
        <v>280</v>
      </c>
      <c r="C15" s="71">
        <f>+'2014 ByMo'!C13</f>
        <v>1946.91</v>
      </c>
      <c r="D15" s="71"/>
      <c r="E15" s="104"/>
      <c r="F15" s="98"/>
      <c r="G15" s="82"/>
      <c r="H15" s="194">
        <f>+'2019 ByMo'!D11</f>
        <v>8799.75</v>
      </c>
      <c r="I15" s="194">
        <f>+'2020 ByMo'!D11</f>
        <v>2850</v>
      </c>
      <c r="J15" s="82">
        <v>8396.7000000000007</v>
      </c>
      <c r="K15" s="170">
        <v>4750</v>
      </c>
      <c r="L15" s="334">
        <f>+'2020 ByMo'!C11</f>
        <v>2580</v>
      </c>
    </row>
    <row r="16" spans="1:12" x14ac:dyDescent="0.35">
      <c r="B16" s="1" t="s">
        <v>64</v>
      </c>
      <c r="C16" s="71"/>
      <c r="D16" s="100">
        <f>+'2015 ByMo'!M13</f>
        <v>5000</v>
      </c>
      <c r="E16" s="100">
        <f>+'2016 ByMo'!C14</f>
        <v>10754.31</v>
      </c>
      <c r="F16" s="98"/>
      <c r="G16" s="82"/>
      <c r="H16" s="194"/>
      <c r="I16" s="194"/>
      <c r="J16" s="82"/>
      <c r="K16" s="170"/>
      <c r="L16" s="334"/>
    </row>
    <row r="17" spans="1:12" x14ac:dyDescent="0.35">
      <c r="B17" s="1" t="s">
        <v>145</v>
      </c>
      <c r="C17" s="71"/>
      <c r="D17" s="100">
        <f>+'2015 ByMo'!K13</f>
        <v>1110.6099999999999</v>
      </c>
      <c r="E17" s="104"/>
      <c r="F17" s="98"/>
      <c r="G17" s="82"/>
      <c r="H17" s="194"/>
      <c r="I17" s="194"/>
      <c r="J17" s="349"/>
      <c r="K17" s="170"/>
      <c r="L17" s="334"/>
    </row>
    <row r="18" spans="1:12" ht="6.9" customHeight="1" x14ac:dyDescent="0.35">
      <c r="C18" s="71"/>
      <c r="D18" s="100"/>
      <c r="E18" s="104"/>
      <c r="F18" s="98"/>
      <c r="G18" s="82"/>
      <c r="H18" s="194"/>
      <c r="I18" s="194"/>
      <c r="J18" s="349"/>
      <c r="K18" s="170"/>
      <c r="L18" s="334"/>
    </row>
    <row r="19" spans="1:12" ht="15.75" customHeight="1" x14ac:dyDescent="0.35">
      <c r="A19" s="1" t="s">
        <v>48</v>
      </c>
      <c r="B19" s="1" t="s">
        <v>179</v>
      </c>
      <c r="C19" s="71">
        <f>+'2014 ByMo'!C9</f>
        <v>617</v>
      </c>
      <c r="D19" s="71">
        <f>+'2015 ByMo'!C9</f>
        <v>0</v>
      </c>
      <c r="E19" s="71">
        <f>+'2016 ByMo'!C10</f>
        <v>690.85999999999979</v>
      </c>
      <c r="F19" s="98">
        <f>-'2017 Ck Reg'!F54</f>
        <v>641.0999999999998</v>
      </c>
      <c r="G19" s="81">
        <f>-'2018 Ck Reg'!E56</f>
        <v>702</v>
      </c>
      <c r="H19" s="194">
        <f>+'2019 ByMo'!D13</f>
        <v>790.7</v>
      </c>
      <c r="I19" s="194">
        <f>+'2020 ByMo'!D13</f>
        <v>1048.7300000000002</v>
      </c>
      <c r="J19" s="82">
        <v>782.08</v>
      </c>
      <c r="K19" s="170">
        <v>780</v>
      </c>
      <c r="L19" s="334">
        <f>+'2020 ByMo'!C13</f>
        <v>1050.0000000000002</v>
      </c>
    </row>
    <row r="20" spans="1:12" ht="6.9" customHeight="1" x14ac:dyDescent="0.35">
      <c r="C20" s="71"/>
      <c r="D20" s="100"/>
      <c r="E20" s="104"/>
      <c r="F20" s="98"/>
      <c r="G20" s="82"/>
      <c r="H20" s="194"/>
      <c r="I20" s="194"/>
      <c r="J20" s="82"/>
      <c r="K20" s="170"/>
      <c r="L20" s="334"/>
    </row>
    <row r="21" spans="1:12" ht="15.75" customHeight="1" x14ac:dyDescent="0.35">
      <c r="A21" s="1" t="s">
        <v>46</v>
      </c>
      <c r="B21" s="1" t="s">
        <v>262</v>
      </c>
      <c r="C21" s="71"/>
      <c r="D21" s="71">
        <f>+'2015 ByMo'!C15</f>
        <v>24</v>
      </c>
      <c r="E21" s="71">
        <f>+'2016 ByMo'!C16</f>
        <v>78.039999999999992</v>
      </c>
      <c r="F21" s="98">
        <f>+'2017 ByMo'!C16</f>
        <v>0</v>
      </c>
      <c r="G21" s="82">
        <f>+'2018 ByMo'!C16</f>
        <v>52.3</v>
      </c>
      <c r="H21" s="194">
        <f>+'2019 ByMo'!D15</f>
        <v>68</v>
      </c>
      <c r="I21" s="194">
        <f>+'2020 ByMo'!D15</f>
        <v>119.5</v>
      </c>
      <c r="J21" s="82">
        <v>68</v>
      </c>
      <c r="K21" s="170">
        <v>105</v>
      </c>
      <c r="L21" s="334">
        <f>+'2020 ByMo'!C15</f>
        <v>50</v>
      </c>
    </row>
    <row r="22" spans="1:12" ht="6.9" customHeight="1" x14ac:dyDescent="0.35">
      <c r="C22" s="71"/>
      <c r="D22" s="71"/>
      <c r="E22" s="71"/>
      <c r="F22" s="98"/>
      <c r="G22" s="81"/>
      <c r="H22" s="194"/>
      <c r="I22" s="194"/>
      <c r="J22" s="82"/>
      <c r="K22" s="170"/>
      <c r="L22" s="334"/>
    </row>
    <row r="23" spans="1:12" x14ac:dyDescent="0.35">
      <c r="A23" s="1" t="s">
        <v>45</v>
      </c>
      <c r="B23" s="1" t="s">
        <v>16</v>
      </c>
      <c r="C23" s="71">
        <f>+'2014 ByMo'!C17</f>
        <v>1358.42</v>
      </c>
      <c r="D23" s="71">
        <f>+'2015 ByMo'!C17</f>
        <v>1227.8699999999999</v>
      </c>
      <c r="E23" s="71">
        <f>+'2016 ByMo'!C18</f>
        <v>620.05000000000007</v>
      </c>
      <c r="F23" s="98">
        <f>-'2017 Ck Reg'!H54</f>
        <v>617.43999999999994</v>
      </c>
      <c r="G23" s="82">
        <f>-'2018 Ck Reg'!G56</f>
        <v>1152.77</v>
      </c>
      <c r="H23" s="194">
        <f>+'2019 ByMo'!D17</f>
        <v>647.21999999999991</v>
      </c>
      <c r="I23" s="194">
        <f>+'2020 ByMo'!D17</f>
        <v>1298.5500000000002</v>
      </c>
      <c r="J23" s="82">
        <v>647.11999999999989</v>
      </c>
      <c r="K23" s="170">
        <v>1200</v>
      </c>
      <c r="L23" s="334">
        <f>+'2020 ByMo'!C17</f>
        <v>1170</v>
      </c>
    </row>
    <row r="24" spans="1:12" x14ac:dyDescent="0.35">
      <c r="B24" s="1" t="s">
        <v>17</v>
      </c>
      <c r="C24" s="71">
        <f>+'2014 ByMo'!C18</f>
        <v>111.75999999999999</v>
      </c>
      <c r="D24" s="71">
        <f>+'2015 ByMo'!C18</f>
        <v>103.6</v>
      </c>
      <c r="E24" s="71">
        <f>+'2016 ByMo'!C19</f>
        <v>123.91999999999999</v>
      </c>
      <c r="F24" s="98">
        <f>-'2017 Ck Reg'!I54</f>
        <v>111.80999999999999</v>
      </c>
      <c r="G24" s="82">
        <f>-'2018 Ck Reg'!H56</f>
        <v>126.5</v>
      </c>
      <c r="H24" s="194">
        <f>+'2019 ByMo'!D18</f>
        <v>93.490000000000009</v>
      </c>
      <c r="I24" s="194">
        <f>+'2020 ByMo'!D18</f>
        <v>0</v>
      </c>
      <c r="J24" s="82">
        <v>93.490000000000009</v>
      </c>
      <c r="K24" s="170">
        <v>150</v>
      </c>
      <c r="L24" s="334">
        <f>+'2020 ByMo'!C18</f>
        <v>0</v>
      </c>
    </row>
    <row r="25" spans="1:12" ht="6.9" customHeight="1" x14ac:dyDescent="0.35">
      <c r="C25" s="71"/>
      <c r="D25" s="71"/>
      <c r="E25" s="71"/>
      <c r="F25" s="98"/>
      <c r="G25" s="81"/>
      <c r="H25" s="194"/>
      <c r="I25" s="194"/>
      <c r="J25" s="82"/>
      <c r="K25" s="170"/>
      <c r="L25" s="334"/>
    </row>
    <row r="26" spans="1:12" x14ac:dyDescent="0.35">
      <c r="A26" s="1" t="s">
        <v>56</v>
      </c>
      <c r="B26" s="1" t="s">
        <v>30</v>
      </c>
      <c r="C26" s="71"/>
      <c r="D26" s="71"/>
      <c r="E26" s="71"/>
      <c r="F26" s="98"/>
      <c r="G26" s="81"/>
      <c r="H26" s="194">
        <f>+'2019 ByMo'!D20</f>
        <v>171.9</v>
      </c>
      <c r="I26" s="194">
        <f>+'2020 ByMo'!D20</f>
        <v>378.84</v>
      </c>
      <c r="J26" s="82">
        <v>171.9</v>
      </c>
      <c r="K26" s="170">
        <v>50</v>
      </c>
      <c r="L26" s="334">
        <f>+'2020 ByMo'!C20</f>
        <v>330</v>
      </c>
    </row>
    <row r="27" spans="1:12" x14ac:dyDescent="0.35">
      <c r="B27" s="1" t="s">
        <v>264</v>
      </c>
      <c r="C27" s="71">
        <f>+'2014 ByMo'!C21</f>
        <v>146.88999999999999</v>
      </c>
      <c r="D27" s="71">
        <f>+'2015 ByMo'!C21</f>
        <v>86.53</v>
      </c>
      <c r="E27" s="100">
        <f>+'2016 ByMo'!C22</f>
        <v>165.47</v>
      </c>
      <c r="F27" s="98">
        <f>+'2017 ByMo'!C22</f>
        <v>39.200000000000003</v>
      </c>
      <c r="G27" s="96">
        <f>-'2018 Ck Reg'!K38</f>
        <v>250</v>
      </c>
      <c r="H27" s="194">
        <f>+'2019 ByMo'!D21</f>
        <v>323.27999999999997</v>
      </c>
      <c r="I27" s="194">
        <f>+'2020 ByMo'!D21</f>
        <v>0</v>
      </c>
      <c r="J27" s="82">
        <v>322</v>
      </c>
      <c r="K27" s="170">
        <v>165</v>
      </c>
      <c r="L27" s="334">
        <f>+'2020 ByMo'!C21</f>
        <v>130</v>
      </c>
    </row>
    <row r="28" spans="1:12" x14ac:dyDescent="0.35">
      <c r="B28" s="1" t="s">
        <v>383</v>
      </c>
      <c r="C28" s="71">
        <v>0</v>
      </c>
      <c r="D28" s="71">
        <f>+'2015 ByMo'!C22</f>
        <v>10</v>
      </c>
      <c r="E28" s="71">
        <f>+'2016 ByMo'!C23</f>
        <v>0</v>
      </c>
      <c r="F28" s="98">
        <f>+'2017 ByMo'!C23</f>
        <v>10</v>
      </c>
      <c r="G28" s="82"/>
      <c r="H28" s="194">
        <f>+'2019 ByMo'!D22</f>
        <v>20</v>
      </c>
      <c r="I28" s="194">
        <f>+'2020 ByMo'!D22</f>
        <v>0</v>
      </c>
      <c r="J28" s="82">
        <v>20</v>
      </c>
      <c r="K28" s="170">
        <v>55</v>
      </c>
      <c r="L28" s="334">
        <f>+'2020 ByMo'!C22</f>
        <v>10</v>
      </c>
    </row>
    <row r="29" spans="1:12" x14ac:dyDescent="0.35">
      <c r="B29" s="1" t="s">
        <v>159</v>
      </c>
      <c r="C29" s="71"/>
      <c r="D29" s="71"/>
      <c r="E29" s="71"/>
      <c r="F29" s="98"/>
      <c r="G29" s="82"/>
      <c r="H29" s="198">
        <f>+'2019 ByMo'!D23</f>
        <v>0</v>
      </c>
      <c r="I29" s="194">
        <f>+'2020 ByMo'!D23</f>
        <v>0</v>
      </c>
      <c r="J29" s="97">
        <v>0</v>
      </c>
      <c r="K29" s="172"/>
      <c r="L29" s="336">
        <f>+'2020 ByMo'!C23</f>
        <v>300</v>
      </c>
    </row>
    <row r="30" spans="1:12" ht="17" x14ac:dyDescent="0.5">
      <c r="A30" s="3" t="s">
        <v>24</v>
      </c>
      <c r="C30" s="72">
        <f t="shared" ref="C30:J30" si="3">SUM(C13:C29)</f>
        <v>10457.699999999997</v>
      </c>
      <c r="D30" s="72">
        <f t="shared" si="3"/>
        <v>13839.349999999999</v>
      </c>
      <c r="E30" s="72">
        <f t="shared" si="3"/>
        <v>19048.98</v>
      </c>
      <c r="F30" s="72">
        <f t="shared" si="3"/>
        <v>7867.9999999999982</v>
      </c>
      <c r="G30" s="83">
        <f t="shared" si="3"/>
        <v>10286.029999999999</v>
      </c>
      <c r="H30" s="83">
        <f t="shared" si="3"/>
        <v>19489.160000000003</v>
      </c>
      <c r="I30" s="83">
        <f t="shared" ref="I30" si="4">SUM(I13:I29)</f>
        <v>13021.869999999999</v>
      </c>
      <c r="J30" s="83">
        <f t="shared" si="3"/>
        <v>19076.110000000004</v>
      </c>
      <c r="K30" s="173">
        <f>SUM(K13:K29)</f>
        <v>17955</v>
      </c>
      <c r="L30" s="337">
        <f>SUM(L13:L29)</f>
        <v>13760</v>
      </c>
    </row>
    <row r="31" spans="1:12" ht="6.9" customHeight="1" x14ac:dyDescent="0.5">
      <c r="C31" s="72"/>
      <c r="D31" s="72"/>
      <c r="E31" s="72"/>
      <c r="F31" s="72"/>
      <c r="G31" s="83"/>
      <c r="H31" s="83"/>
      <c r="I31" s="83"/>
      <c r="J31" s="83"/>
      <c r="K31" s="174"/>
      <c r="L31" s="338"/>
    </row>
    <row r="32" spans="1:12" x14ac:dyDescent="0.35">
      <c r="A32" s="3" t="s">
        <v>50</v>
      </c>
      <c r="C32" s="162">
        <f t="shared" ref="C32:H32" si="5">+C5+C10-C30</f>
        <v>28293.22</v>
      </c>
      <c r="D32" s="162">
        <f t="shared" si="5"/>
        <v>25332.04</v>
      </c>
      <c r="E32" s="162">
        <f t="shared" si="5"/>
        <v>19783.100000000002</v>
      </c>
      <c r="F32" s="162">
        <f t="shared" si="5"/>
        <v>23160.1</v>
      </c>
      <c r="G32" s="162">
        <f t="shared" si="5"/>
        <v>23374.07</v>
      </c>
      <c r="H32" s="199">
        <f t="shared" si="5"/>
        <v>17009.909999999996</v>
      </c>
      <c r="I32" s="199">
        <f t="shared" ref="I32" si="6">+I5+I10-I30</f>
        <v>17748.039999999997</v>
      </c>
      <c r="J32" s="162">
        <f>+J5+J10-J30</f>
        <v>17422.959999999995</v>
      </c>
      <c r="K32" s="175">
        <f>+K5+K10-K30</f>
        <v>17415.07</v>
      </c>
      <c r="L32" s="339">
        <f>+L5+L10-L30</f>
        <v>17422.96</v>
      </c>
    </row>
    <row r="33" spans="1:12" ht="16.5" customHeight="1" x14ac:dyDescent="0.35">
      <c r="C33" s="176"/>
      <c r="D33" s="176"/>
      <c r="E33" s="176"/>
      <c r="F33" s="176"/>
      <c r="G33" s="190" t="s">
        <v>151</v>
      </c>
      <c r="H33" s="200">
        <f>+H32-K32</f>
        <v>-405.16000000000349</v>
      </c>
      <c r="I33" s="181"/>
      <c r="J33" s="176"/>
      <c r="K33" s="181"/>
    </row>
    <row r="34" spans="1:12" ht="19.5" customHeight="1" x14ac:dyDescent="0.35">
      <c r="A34" s="24" t="s">
        <v>53</v>
      </c>
      <c r="B34" s="155"/>
      <c r="C34" s="178"/>
      <c r="D34" s="178"/>
      <c r="E34" s="178"/>
      <c r="F34" s="179"/>
      <c r="G34" s="180"/>
      <c r="H34" s="165" t="s">
        <v>373</v>
      </c>
      <c r="I34" s="387">
        <f>+I32-'2020 ByMo'!D26</f>
        <v>0</v>
      </c>
      <c r="J34" s="164"/>
    </row>
    <row r="35" spans="1:12" ht="17.25" customHeight="1" x14ac:dyDescent="0.35">
      <c r="A35" s="192" t="s">
        <v>229</v>
      </c>
      <c r="B35" s="183"/>
      <c r="C35" s="183"/>
      <c r="D35" s="183"/>
      <c r="E35" s="183"/>
      <c r="F35" s="183"/>
      <c r="G35" s="183"/>
      <c r="H35" s="183"/>
      <c r="I35" s="385"/>
      <c r="K35" s="205" t="s">
        <v>149</v>
      </c>
      <c r="L35" s="187"/>
    </row>
    <row r="36" spans="1:12" x14ac:dyDescent="0.35">
      <c r="A36" s="184"/>
      <c r="B36" s="1" t="s">
        <v>153</v>
      </c>
      <c r="C36" s="160">
        <f t="shared" ref="C36:H36" si="7">(+C8/375)-32</f>
        <v>0</v>
      </c>
      <c r="D36" s="160">
        <f t="shared" si="7"/>
        <v>-3</v>
      </c>
      <c r="E36" s="160">
        <f t="shared" si="7"/>
        <v>4</v>
      </c>
      <c r="F36" s="160">
        <f t="shared" si="7"/>
        <v>-2.0133333333333319</v>
      </c>
      <c r="G36" s="160">
        <f t="shared" si="7"/>
        <v>-4</v>
      </c>
      <c r="H36" s="160">
        <f t="shared" si="7"/>
        <v>3</v>
      </c>
      <c r="I36" s="386"/>
      <c r="K36" s="206">
        <f>SUM(C36:H36)</f>
        <v>-2.0133333333333319</v>
      </c>
      <c r="L36" s="188"/>
    </row>
    <row r="37" spans="1:12" x14ac:dyDescent="0.35">
      <c r="A37" s="185"/>
      <c r="B37" s="186" t="s">
        <v>150</v>
      </c>
      <c r="C37" s="186"/>
      <c r="D37" s="473"/>
      <c r="E37" s="474"/>
      <c r="F37" s="474"/>
      <c r="G37" s="473"/>
      <c r="H37" s="474"/>
      <c r="I37" s="60"/>
      <c r="K37" s="207">
        <f>+K36*375</f>
        <v>-754.99999999999943</v>
      </c>
      <c r="L37" s="189"/>
    </row>
    <row r="38" spans="1:12" x14ac:dyDescent="0.35">
      <c r="A38" s="475" t="s">
        <v>230</v>
      </c>
      <c r="B38" s="476"/>
      <c r="C38" s="476"/>
      <c r="D38" s="476"/>
      <c r="E38" s="476"/>
      <c r="F38" s="476"/>
      <c r="G38" s="476"/>
      <c r="H38" s="476"/>
      <c r="I38" s="476"/>
      <c r="J38" s="476"/>
      <c r="K38" s="476"/>
      <c r="L38" s="477"/>
    </row>
    <row r="40" spans="1:12" s="9" customFormat="1" x14ac:dyDescent="0.35">
      <c r="A40" s="285" t="s">
        <v>231</v>
      </c>
      <c r="B40" s="208"/>
      <c r="C40" s="262"/>
      <c r="D40" s="262"/>
      <c r="E40" s="262"/>
      <c r="F40" s="267" t="s">
        <v>182</v>
      </c>
      <c r="G40" s="187"/>
      <c r="H40" s="2"/>
      <c r="I40" s="2"/>
      <c r="J40" s="2"/>
    </row>
    <row r="41" spans="1:12" s="9" customFormat="1" x14ac:dyDescent="0.35">
      <c r="A41" s="184" t="s">
        <v>180</v>
      </c>
      <c r="B41" s="1"/>
      <c r="C41" s="263"/>
      <c r="D41" s="263"/>
      <c r="E41" s="268">
        <f>-'2018 Ck Reg'!F29</f>
        <v>625.37</v>
      </c>
      <c r="F41" s="1"/>
      <c r="G41" s="188"/>
      <c r="H41" s="2"/>
      <c r="I41" s="2"/>
      <c r="J41" s="2"/>
    </row>
    <row r="42" spans="1:12" s="9" customFormat="1" x14ac:dyDescent="0.35">
      <c r="A42" s="184" t="s">
        <v>181</v>
      </c>
      <c r="B42" s="1"/>
      <c r="C42" s="263"/>
      <c r="D42" s="263"/>
      <c r="E42" s="268">
        <f>-'2019 Ck Reg'!G9/2</f>
        <v>807.75</v>
      </c>
      <c r="F42" s="263"/>
      <c r="G42" s="188"/>
      <c r="H42" s="2"/>
      <c r="I42" s="2"/>
      <c r="J42" s="2"/>
    </row>
    <row r="43" spans="1:12" s="9" customFormat="1" x14ac:dyDescent="0.35">
      <c r="A43" s="185" t="s">
        <v>185</v>
      </c>
      <c r="B43" s="186"/>
      <c r="C43" s="264"/>
      <c r="D43" s="264"/>
      <c r="E43" s="269">
        <f>+E42</f>
        <v>807.75</v>
      </c>
      <c r="F43" s="270">
        <f>E43/E41-1</f>
        <v>0.29163535187169187</v>
      </c>
      <c r="G43" s="189"/>
      <c r="H43" s="2"/>
      <c r="I43" s="2"/>
      <c r="J43" s="2"/>
    </row>
    <row r="44" spans="1:12" s="9" customFormat="1" x14ac:dyDescent="0.35">
      <c r="A44" s="1"/>
      <c r="B44" s="1"/>
      <c r="F44" s="1"/>
      <c r="G44" s="1"/>
      <c r="H44" s="2"/>
      <c r="I44" s="2"/>
      <c r="J44" s="2"/>
    </row>
    <row r="45" spans="1:12" s="9" customFormat="1" x14ac:dyDescent="0.35">
      <c r="A45" s="1"/>
      <c r="B45" s="1"/>
      <c r="F45" s="1"/>
      <c r="G45" s="1"/>
      <c r="H45" s="2"/>
      <c r="I45" s="2"/>
      <c r="J45" s="2"/>
    </row>
    <row r="46" spans="1:12" s="9" customFormat="1" x14ac:dyDescent="0.35">
      <c r="A46" s="1"/>
      <c r="B46" s="1"/>
      <c r="C46" s="65">
        <v>2014</v>
      </c>
      <c r="D46" s="65">
        <v>2015</v>
      </c>
      <c r="E46" s="182">
        <v>2016</v>
      </c>
      <c r="F46" s="75">
        <v>2017</v>
      </c>
      <c r="G46" s="75">
        <v>2018</v>
      </c>
      <c r="H46" s="182">
        <v>2019</v>
      </c>
      <c r="I46" s="182"/>
      <c r="J46" s="182" t="s">
        <v>289</v>
      </c>
    </row>
    <row r="47" spans="1:12" s="9" customFormat="1" x14ac:dyDescent="0.35">
      <c r="B47" s="327" t="s">
        <v>274</v>
      </c>
      <c r="C47" s="293">
        <f t="shared" ref="C47:H49" si="8">+C13</f>
        <v>6231.7199999999975</v>
      </c>
      <c r="D47" s="293">
        <f t="shared" si="8"/>
        <v>6231.739999999998</v>
      </c>
      <c r="E47" s="293">
        <f t="shared" si="8"/>
        <v>6571.3300000000008</v>
      </c>
      <c r="F47" s="293">
        <f t="shared" si="8"/>
        <v>6448.4499999999989</v>
      </c>
      <c r="G47" s="293">
        <f t="shared" si="8"/>
        <v>8002.46</v>
      </c>
      <c r="H47" s="293">
        <f t="shared" si="8"/>
        <v>8142.25</v>
      </c>
      <c r="I47" s="293"/>
      <c r="J47" s="293">
        <f>+L13</f>
        <v>6660</v>
      </c>
    </row>
    <row r="48" spans="1:12" s="9" customFormat="1" x14ac:dyDescent="0.35">
      <c r="B48" s="327" t="s">
        <v>275</v>
      </c>
      <c r="C48" s="293">
        <f t="shared" si="8"/>
        <v>45</v>
      </c>
      <c r="D48" s="293">
        <f t="shared" si="8"/>
        <v>45</v>
      </c>
      <c r="E48" s="293">
        <f t="shared" si="8"/>
        <v>45</v>
      </c>
      <c r="F48" s="293">
        <f t="shared" si="8"/>
        <v>0</v>
      </c>
      <c r="G48" s="293">
        <f t="shared" si="8"/>
        <v>0</v>
      </c>
      <c r="H48" s="293">
        <f t="shared" si="8"/>
        <v>432.57000000000005</v>
      </c>
      <c r="I48" s="293"/>
      <c r="J48" s="293">
        <f>+L14</f>
        <v>1480</v>
      </c>
    </row>
    <row r="49" spans="1:10" s="9" customFormat="1" x14ac:dyDescent="0.35">
      <c r="B49" s="327" t="s">
        <v>284</v>
      </c>
      <c r="C49" s="293">
        <f t="shared" si="8"/>
        <v>1946.91</v>
      </c>
      <c r="D49" s="293">
        <f t="shared" si="8"/>
        <v>0</v>
      </c>
      <c r="E49" s="293">
        <f t="shared" si="8"/>
        <v>0</v>
      </c>
      <c r="F49" s="293">
        <f t="shared" si="8"/>
        <v>0</v>
      </c>
      <c r="G49" s="293">
        <f t="shared" si="8"/>
        <v>0</v>
      </c>
      <c r="H49" s="293">
        <f t="shared" si="8"/>
        <v>8799.75</v>
      </c>
      <c r="I49" s="293"/>
      <c r="J49" s="293">
        <f>+L15</f>
        <v>2580</v>
      </c>
    </row>
    <row r="50" spans="1:10" s="9" customFormat="1" x14ac:dyDescent="0.35">
      <c r="B50" s="327" t="s">
        <v>287</v>
      </c>
      <c r="C50" s="293">
        <f t="shared" ref="C50:H50" si="9">+C16+C17</f>
        <v>0</v>
      </c>
      <c r="D50" s="293">
        <f t="shared" si="9"/>
        <v>6110.61</v>
      </c>
      <c r="E50" s="293">
        <f t="shared" si="9"/>
        <v>10754.31</v>
      </c>
      <c r="F50" s="293">
        <f t="shared" si="9"/>
        <v>0</v>
      </c>
      <c r="G50" s="293">
        <f t="shared" si="9"/>
        <v>0</v>
      </c>
      <c r="H50" s="293">
        <f t="shared" si="9"/>
        <v>0</v>
      </c>
      <c r="I50" s="293"/>
      <c r="J50" s="293">
        <f>+L16+L17</f>
        <v>0</v>
      </c>
    </row>
    <row r="51" spans="1:10" s="9" customFormat="1" x14ac:dyDescent="0.35">
      <c r="B51" s="327" t="s">
        <v>4</v>
      </c>
      <c r="C51" s="293">
        <f t="shared" ref="C51:H51" si="10">+C19</f>
        <v>617</v>
      </c>
      <c r="D51" s="293">
        <f t="shared" si="10"/>
        <v>0</v>
      </c>
      <c r="E51" s="293">
        <f t="shared" si="10"/>
        <v>690.85999999999979</v>
      </c>
      <c r="F51" s="293">
        <f t="shared" si="10"/>
        <v>641.0999999999998</v>
      </c>
      <c r="G51" s="293">
        <f t="shared" si="10"/>
        <v>702</v>
      </c>
      <c r="H51" s="293">
        <f t="shared" si="10"/>
        <v>790.7</v>
      </c>
      <c r="I51" s="293"/>
      <c r="J51" s="293">
        <f>+L19</f>
        <v>1050.0000000000002</v>
      </c>
    </row>
    <row r="52" spans="1:10" s="9" customFormat="1" x14ac:dyDescent="0.35">
      <c r="B52" s="327" t="s">
        <v>288</v>
      </c>
      <c r="C52" s="293">
        <f t="shared" ref="C52:H52" si="11">+C23+C24</f>
        <v>1470.18</v>
      </c>
      <c r="D52" s="293">
        <f t="shared" si="11"/>
        <v>1331.4699999999998</v>
      </c>
      <c r="E52" s="293">
        <f t="shared" si="11"/>
        <v>743.97</v>
      </c>
      <c r="F52" s="293">
        <f t="shared" si="11"/>
        <v>729.24999999999989</v>
      </c>
      <c r="G52" s="293">
        <f t="shared" si="11"/>
        <v>1279.27</v>
      </c>
      <c r="H52" s="293">
        <f t="shared" si="11"/>
        <v>740.70999999999992</v>
      </c>
      <c r="I52" s="293"/>
      <c r="J52" s="293">
        <f>+L23+L24</f>
        <v>1170</v>
      </c>
    </row>
    <row r="53" spans="1:10" s="9" customFormat="1" x14ac:dyDescent="0.35">
      <c r="B53" s="327" t="s">
        <v>82</v>
      </c>
      <c r="C53" s="328">
        <f t="shared" ref="C53:H53" si="12">+C21+C26+C27+C28+C29</f>
        <v>146.88999999999999</v>
      </c>
      <c r="D53" s="328">
        <f t="shared" si="12"/>
        <v>120.53</v>
      </c>
      <c r="E53" s="328">
        <f t="shared" si="12"/>
        <v>243.51</v>
      </c>
      <c r="F53" s="328">
        <f t="shared" si="12"/>
        <v>49.2</v>
      </c>
      <c r="G53" s="328">
        <f t="shared" si="12"/>
        <v>302.3</v>
      </c>
      <c r="H53" s="328">
        <f t="shared" si="12"/>
        <v>583.17999999999995</v>
      </c>
      <c r="I53" s="328"/>
      <c r="J53" s="328">
        <f>+L21+L26+L27+L28+L29</f>
        <v>820</v>
      </c>
    </row>
    <row r="54" spans="1:10" s="9" customFormat="1" x14ac:dyDescent="0.35">
      <c r="A54" s="1"/>
      <c r="B54" s="1"/>
      <c r="C54" s="293">
        <f t="shared" ref="C54:J54" si="13">SUM(C47:C53)</f>
        <v>10457.699999999997</v>
      </c>
      <c r="D54" s="293">
        <f t="shared" si="13"/>
        <v>13839.349999999999</v>
      </c>
      <c r="E54" s="293">
        <f t="shared" si="13"/>
        <v>19048.98</v>
      </c>
      <c r="F54" s="293">
        <f t="shared" si="13"/>
        <v>7867.9999999999982</v>
      </c>
      <c r="G54" s="293">
        <f t="shared" si="13"/>
        <v>10286.029999999999</v>
      </c>
      <c r="H54" s="293">
        <f t="shared" si="13"/>
        <v>19489.16</v>
      </c>
      <c r="I54" s="293"/>
      <c r="J54" s="293">
        <f t="shared" si="13"/>
        <v>13760</v>
      </c>
    </row>
    <row r="55" spans="1:10" s="9" customFormat="1" x14ac:dyDescent="0.35">
      <c r="A55" s="1"/>
      <c r="B55" s="1"/>
      <c r="F55" s="1"/>
      <c r="G55" s="1"/>
      <c r="H55" s="2"/>
      <c r="I55" s="2"/>
      <c r="J55" s="2"/>
    </row>
    <row r="56" spans="1:10" s="9" customFormat="1" x14ac:dyDescent="0.35">
      <c r="A56" s="1"/>
      <c r="B56" s="1"/>
      <c r="F56" s="1"/>
      <c r="G56" s="1"/>
      <c r="H56" s="2"/>
      <c r="I56" s="2"/>
      <c r="J56" s="2"/>
    </row>
    <row r="57" spans="1:10" s="9" customFormat="1" x14ac:dyDescent="0.35">
      <c r="A57" s="1"/>
      <c r="B57" s="1"/>
      <c r="F57" s="1"/>
      <c r="G57" s="1"/>
      <c r="H57" s="2"/>
      <c r="I57" s="2"/>
      <c r="J57" s="2"/>
    </row>
    <row r="58" spans="1:10" s="9" customFormat="1" x14ac:dyDescent="0.35">
      <c r="A58" s="1"/>
      <c r="B58" s="1"/>
      <c r="F58" s="1"/>
      <c r="G58" s="1"/>
      <c r="H58" s="2"/>
      <c r="I58" s="2"/>
      <c r="J58" s="2"/>
    </row>
    <row r="59" spans="1:10" s="9" customFormat="1" x14ac:dyDescent="0.35">
      <c r="A59" s="1"/>
      <c r="B59" s="1"/>
      <c r="F59" s="1"/>
      <c r="G59" s="1"/>
      <c r="H59" s="2"/>
      <c r="I59" s="2"/>
      <c r="J59" s="2"/>
    </row>
    <row r="60" spans="1:10" s="9" customFormat="1" x14ac:dyDescent="0.35">
      <c r="A60" s="1"/>
      <c r="B60" s="1"/>
      <c r="F60" s="1"/>
      <c r="G60" s="1"/>
      <c r="H60" s="2"/>
      <c r="I60" s="2"/>
      <c r="J60" s="2"/>
    </row>
    <row r="61" spans="1:10" s="9" customFormat="1" x14ac:dyDescent="0.35">
      <c r="A61" s="1"/>
      <c r="B61" s="1"/>
      <c r="F61" s="1"/>
      <c r="G61" s="1"/>
      <c r="H61" s="2"/>
      <c r="I61" s="2"/>
      <c r="J61" s="2"/>
    </row>
    <row r="62" spans="1:10" s="9" customFormat="1" x14ac:dyDescent="0.35">
      <c r="A62" s="1"/>
      <c r="B62" s="1"/>
      <c r="F62" s="1"/>
      <c r="G62" s="1"/>
      <c r="H62" s="2"/>
      <c r="I62" s="2"/>
      <c r="J62" s="2"/>
    </row>
    <row r="63" spans="1:10" s="9" customFormat="1" x14ac:dyDescent="0.35">
      <c r="A63" s="1"/>
      <c r="B63" s="1"/>
      <c r="F63" s="1"/>
      <c r="G63" s="1"/>
      <c r="H63" s="2"/>
      <c r="I63" s="2"/>
      <c r="J63" s="2"/>
    </row>
    <row r="64" spans="1:10" s="9" customFormat="1" x14ac:dyDescent="0.35">
      <c r="A64" s="1"/>
      <c r="B64" s="1"/>
      <c r="F64" s="1"/>
      <c r="G64" s="1"/>
      <c r="H64" s="2"/>
      <c r="I64" s="2"/>
      <c r="J64" s="2"/>
    </row>
    <row r="65" spans="1:10" s="9" customFormat="1" x14ac:dyDescent="0.35">
      <c r="A65" s="1"/>
      <c r="B65" s="1"/>
      <c r="F65" s="1"/>
      <c r="G65" s="1"/>
      <c r="H65" s="2"/>
      <c r="I65" s="2"/>
      <c r="J65" s="2"/>
    </row>
    <row r="66" spans="1:10" s="9" customFormat="1" x14ac:dyDescent="0.35">
      <c r="A66" s="1"/>
      <c r="B66" s="1"/>
      <c r="F66" s="1"/>
      <c r="G66" s="1"/>
      <c r="H66" s="2"/>
      <c r="I66" s="2"/>
      <c r="J66" s="2"/>
    </row>
    <row r="67" spans="1:10" s="9" customFormat="1" x14ac:dyDescent="0.35">
      <c r="A67" s="1"/>
      <c r="B67" s="1"/>
      <c r="F67" s="1"/>
      <c r="G67" s="1"/>
      <c r="H67" s="2"/>
      <c r="I67" s="2"/>
      <c r="J67" s="2"/>
    </row>
    <row r="68" spans="1:10" s="9" customFormat="1" x14ac:dyDescent="0.35">
      <c r="A68" s="1"/>
      <c r="B68" s="1"/>
      <c r="F68" s="1"/>
      <c r="G68" s="1"/>
      <c r="H68" s="2"/>
      <c r="I68" s="2"/>
      <c r="J68" s="2"/>
    </row>
    <row r="69" spans="1:10" s="9" customFormat="1" x14ac:dyDescent="0.35">
      <c r="A69" s="1"/>
      <c r="B69" s="1"/>
      <c r="F69" s="1"/>
      <c r="G69" s="1"/>
      <c r="H69" s="2"/>
      <c r="I69" s="2"/>
      <c r="J69" s="2"/>
    </row>
    <row r="70" spans="1:10" s="9" customFormat="1" x14ac:dyDescent="0.35">
      <c r="A70" s="1"/>
      <c r="B70" s="1"/>
      <c r="F70" s="1"/>
      <c r="G70" s="1"/>
      <c r="H70" s="2"/>
      <c r="I70" s="2"/>
      <c r="J70" s="2"/>
    </row>
    <row r="71" spans="1:10" s="9" customFormat="1" x14ac:dyDescent="0.35">
      <c r="A71" s="1"/>
      <c r="B71" s="1"/>
      <c r="F71" s="1"/>
      <c r="G71" s="1"/>
      <c r="H71" s="2"/>
      <c r="I71" s="2"/>
      <c r="J71" s="2"/>
    </row>
    <row r="72" spans="1:10" s="9" customFormat="1" x14ac:dyDescent="0.35">
      <c r="A72" s="1"/>
      <c r="B72" s="1"/>
      <c r="F72" s="1"/>
      <c r="G72" s="1"/>
      <c r="H72" s="2"/>
      <c r="I72" s="2"/>
      <c r="J72" s="2"/>
    </row>
    <row r="73" spans="1:10" s="9" customFormat="1" x14ac:dyDescent="0.35">
      <c r="A73" s="1"/>
      <c r="B73" s="1"/>
      <c r="F73" s="1"/>
      <c r="G73" s="1"/>
      <c r="H73" s="2"/>
      <c r="I73" s="2"/>
      <c r="J73" s="2"/>
    </row>
    <row r="74" spans="1:10" s="9" customFormat="1" x14ac:dyDescent="0.35">
      <c r="A74" s="1"/>
      <c r="B74" s="1"/>
      <c r="F74" s="1"/>
      <c r="G74" s="1"/>
      <c r="H74" s="2"/>
      <c r="I74" s="2"/>
      <c r="J74" s="2"/>
    </row>
    <row r="75" spans="1:10" s="9" customFormat="1" x14ac:dyDescent="0.35">
      <c r="A75" s="1"/>
      <c r="B75" s="1"/>
      <c r="F75" s="1"/>
      <c r="G75" s="1"/>
      <c r="H75" s="2"/>
      <c r="I75" s="2"/>
      <c r="J75" s="2"/>
    </row>
    <row r="76" spans="1:10" s="9" customFormat="1" x14ac:dyDescent="0.35">
      <c r="A76" s="1"/>
      <c r="B76" s="1"/>
      <c r="F76" s="1"/>
      <c r="G76" s="1"/>
      <c r="H76" s="2"/>
      <c r="I76" s="2"/>
      <c r="J76" s="2"/>
    </row>
    <row r="77" spans="1:10" s="9" customFormat="1" x14ac:dyDescent="0.35">
      <c r="A77" s="1"/>
      <c r="B77" s="1"/>
      <c r="F77" s="1"/>
      <c r="G77" s="1"/>
      <c r="H77" s="2"/>
      <c r="I77" s="2"/>
      <c r="J77" s="2"/>
    </row>
    <row r="78" spans="1:10" s="9" customFormat="1" x14ac:dyDescent="0.35">
      <c r="A78" s="1"/>
      <c r="B78" s="1"/>
      <c r="F78" s="1"/>
      <c r="G78" s="1"/>
      <c r="H78" s="2"/>
      <c r="I78" s="2"/>
      <c r="J78" s="2"/>
    </row>
    <row r="79" spans="1:10" s="9" customFormat="1" x14ac:dyDescent="0.35">
      <c r="A79" s="1"/>
      <c r="B79" s="1"/>
      <c r="F79" s="1"/>
      <c r="G79" s="1"/>
      <c r="H79" s="2"/>
      <c r="I79" s="2"/>
      <c r="J79" s="2"/>
    </row>
    <row r="80" spans="1:10" s="9" customFormat="1" x14ac:dyDescent="0.35">
      <c r="A80" s="1"/>
      <c r="B80" s="1"/>
      <c r="F80" s="1"/>
      <c r="G80" s="1"/>
      <c r="H80" s="2"/>
      <c r="I80" s="2"/>
      <c r="J80" s="2"/>
    </row>
    <row r="81" spans="1:10" s="9" customFormat="1" x14ac:dyDescent="0.35">
      <c r="A81" s="1"/>
      <c r="B81" s="1"/>
      <c r="F81" s="1"/>
      <c r="G81" s="1"/>
      <c r="H81" s="2"/>
      <c r="I81" s="2"/>
      <c r="J81" s="2"/>
    </row>
    <row r="82" spans="1:10" s="9" customFormat="1" x14ac:dyDescent="0.35">
      <c r="A82" s="1"/>
      <c r="B82" s="1"/>
      <c r="F82" s="1"/>
      <c r="G82" s="1"/>
      <c r="H82" s="2"/>
      <c r="I82" s="2"/>
      <c r="J82" s="2"/>
    </row>
    <row r="83" spans="1:10" s="9" customFormat="1" x14ac:dyDescent="0.35">
      <c r="A83" s="1"/>
      <c r="B83" s="1"/>
      <c r="F83" s="1"/>
      <c r="G83" s="1"/>
      <c r="H83" s="2"/>
      <c r="I83" s="2"/>
      <c r="J83" s="2"/>
    </row>
    <row r="84" spans="1:10" s="9" customFormat="1" x14ac:dyDescent="0.35">
      <c r="A84" s="1"/>
      <c r="B84" s="1"/>
      <c r="F84" s="1"/>
      <c r="G84" s="1"/>
      <c r="H84" s="2"/>
      <c r="I84" s="2"/>
      <c r="J84" s="2"/>
    </row>
    <row r="85" spans="1:10" s="9" customFormat="1" x14ac:dyDescent="0.35">
      <c r="A85" s="1"/>
      <c r="B85" s="1"/>
      <c r="F85" s="1"/>
      <c r="G85" s="1"/>
      <c r="H85" s="2"/>
      <c r="I85" s="2"/>
      <c r="J85" s="2"/>
    </row>
    <row r="86" spans="1:10" s="9" customFormat="1" x14ac:dyDescent="0.35">
      <c r="A86" s="1"/>
      <c r="B86" s="1"/>
      <c r="F86" s="1"/>
      <c r="G86" s="1"/>
      <c r="H86" s="2"/>
      <c r="I86" s="2"/>
      <c r="J86" s="2"/>
    </row>
    <row r="87" spans="1:10" s="9" customFormat="1" x14ac:dyDescent="0.35">
      <c r="A87" s="1"/>
      <c r="B87" s="1"/>
      <c r="F87" s="1"/>
      <c r="G87" s="1"/>
      <c r="H87" s="2"/>
      <c r="I87" s="2"/>
      <c r="J87" s="2"/>
    </row>
    <row r="88" spans="1:10" s="9" customFormat="1" x14ac:dyDescent="0.35">
      <c r="A88" s="1"/>
      <c r="B88" s="1"/>
      <c r="F88" s="1"/>
      <c r="G88" s="1"/>
      <c r="H88" s="2"/>
      <c r="I88" s="2"/>
      <c r="J88" s="2"/>
    </row>
    <row r="89" spans="1:10" s="9" customFormat="1" x14ac:dyDescent="0.35">
      <c r="A89" s="1"/>
      <c r="B89" s="1"/>
      <c r="F89" s="1"/>
      <c r="G89" s="1"/>
      <c r="H89" s="2"/>
      <c r="I89" s="2"/>
      <c r="J89" s="2"/>
    </row>
    <row r="90" spans="1:10" s="9" customFormat="1" x14ac:dyDescent="0.35">
      <c r="A90" s="1"/>
      <c r="B90" s="1"/>
      <c r="F90" s="1"/>
      <c r="G90" s="1"/>
      <c r="H90" s="2"/>
      <c r="I90" s="2"/>
      <c r="J90" s="2"/>
    </row>
    <row r="91" spans="1:10" s="9" customFormat="1" x14ac:dyDescent="0.35">
      <c r="A91" s="1"/>
      <c r="B91" s="1"/>
      <c r="F91" s="1"/>
      <c r="G91" s="1"/>
      <c r="H91" s="2"/>
      <c r="I91" s="2"/>
      <c r="J91" s="2"/>
    </row>
    <row r="92" spans="1:10" s="9" customFormat="1" x14ac:dyDescent="0.35">
      <c r="A92" s="1"/>
      <c r="B92" s="1"/>
      <c r="F92" s="1"/>
      <c r="G92" s="1"/>
      <c r="H92" s="2"/>
      <c r="I92" s="2"/>
      <c r="J92" s="2"/>
    </row>
    <row r="93" spans="1:10" s="9" customFormat="1" x14ac:dyDescent="0.35">
      <c r="A93" s="1"/>
      <c r="B93" s="1"/>
      <c r="F93" s="1"/>
      <c r="G93" s="1"/>
      <c r="H93" s="2"/>
      <c r="I93" s="2"/>
      <c r="J93" s="2"/>
    </row>
    <row r="94" spans="1:10" s="9" customFormat="1" x14ac:dyDescent="0.35">
      <c r="A94" s="1"/>
      <c r="B94" s="1"/>
      <c r="F94" s="1"/>
      <c r="G94" s="1"/>
      <c r="H94" s="2"/>
      <c r="I94" s="2"/>
      <c r="J94" s="2"/>
    </row>
    <row r="95" spans="1:10" s="9" customFormat="1" x14ac:dyDescent="0.35">
      <c r="A95" s="1"/>
      <c r="B95" s="1"/>
      <c r="F95" s="1"/>
      <c r="G95" s="1"/>
      <c r="H95" s="2"/>
      <c r="I95" s="2"/>
      <c r="J95" s="2"/>
    </row>
    <row r="96" spans="1:10" s="9" customFormat="1" x14ac:dyDescent="0.35">
      <c r="A96" s="1"/>
      <c r="B96" s="1"/>
      <c r="F96" s="1"/>
      <c r="G96" s="1"/>
      <c r="H96" s="2"/>
      <c r="I96" s="2"/>
      <c r="J96" s="2"/>
    </row>
    <row r="97" spans="1:10" s="9" customFormat="1" x14ac:dyDescent="0.35">
      <c r="A97" s="1"/>
      <c r="B97" s="1"/>
      <c r="F97" s="1"/>
      <c r="G97" s="1"/>
      <c r="H97" s="2"/>
      <c r="I97" s="2"/>
      <c r="J97" s="2"/>
    </row>
    <row r="98" spans="1:10" s="9" customFormat="1" x14ac:dyDescent="0.35">
      <c r="A98" s="1"/>
      <c r="B98" s="1"/>
      <c r="F98" s="1"/>
      <c r="G98" s="1"/>
      <c r="H98" s="2"/>
      <c r="I98" s="2"/>
      <c r="J98" s="2"/>
    </row>
    <row r="99" spans="1:10" s="9" customFormat="1" x14ac:dyDescent="0.35">
      <c r="A99" s="1"/>
      <c r="B99" s="1"/>
      <c r="F99" s="1"/>
      <c r="G99" s="1"/>
      <c r="H99" s="2"/>
      <c r="I99" s="2"/>
      <c r="J99" s="2"/>
    </row>
    <row r="100" spans="1:10" s="9" customFormat="1" x14ac:dyDescent="0.35">
      <c r="A100" s="1"/>
      <c r="B100" s="1"/>
      <c r="F100" s="1"/>
      <c r="G100" s="1"/>
      <c r="H100" s="2"/>
      <c r="I100" s="2"/>
      <c r="J100" s="2"/>
    </row>
    <row r="101" spans="1:10" s="9" customFormat="1" x14ac:dyDescent="0.35">
      <c r="A101" s="1"/>
      <c r="B101" s="1"/>
      <c r="F101" s="1"/>
      <c r="G101" s="1"/>
      <c r="H101" s="2"/>
      <c r="I101" s="2"/>
      <c r="J101" s="2"/>
    </row>
    <row r="102" spans="1:10" s="9" customFormat="1" x14ac:dyDescent="0.35">
      <c r="A102" s="1"/>
      <c r="B102" s="1"/>
      <c r="F102" s="1"/>
      <c r="G102" s="1"/>
      <c r="H102" s="2"/>
      <c r="I102" s="2"/>
      <c r="J102" s="2"/>
    </row>
    <row r="103" spans="1:10" s="9" customFormat="1" x14ac:dyDescent="0.35">
      <c r="A103" s="1"/>
      <c r="B103" s="1"/>
      <c r="F103" s="1"/>
      <c r="G103" s="1"/>
      <c r="H103" s="2"/>
      <c r="I103" s="2"/>
      <c r="J103" s="2"/>
    </row>
    <row r="104" spans="1:10" s="9" customFormat="1" x14ac:dyDescent="0.35">
      <c r="A104" s="1"/>
      <c r="B104" s="1"/>
      <c r="F104" s="1"/>
      <c r="G104" s="1"/>
      <c r="H104" s="2"/>
      <c r="I104" s="2"/>
      <c r="J104" s="2"/>
    </row>
    <row r="105" spans="1:10" s="9" customFormat="1" x14ac:dyDescent="0.35">
      <c r="A105" s="1"/>
      <c r="B105" s="1"/>
      <c r="F105" s="1"/>
      <c r="G105" s="1"/>
      <c r="H105" s="2"/>
      <c r="I105" s="2"/>
      <c r="J105" s="2"/>
    </row>
    <row r="106" spans="1:10" s="9" customFormat="1" x14ac:dyDescent="0.35">
      <c r="A106" s="1"/>
      <c r="B106" s="1"/>
      <c r="F106" s="1"/>
      <c r="G106" s="1"/>
      <c r="H106" s="2"/>
      <c r="I106" s="2"/>
      <c r="J106" s="2"/>
    </row>
    <row r="107" spans="1:10" s="9" customFormat="1" x14ac:dyDescent="0.35">
      <c r="A107" s="1"/>
      <c r="B107" s="1"/>
      <c r="F107" s="1"/>
      <c r="G107" s="1"/>
      <c r="H107" s="2"/>
      <c r="I107" s="2"/>
      <c r="J107" s="2"/>
    </row>
    <row r="108" spans="1:10" s="9" customFormat="1" x14ac:dyDescent="0.35">
      <c r="A108" s="1"/>
      <c r="B108" s="1"/>
      <c r="F108" s="1"/>
      <c r="G108" s="1"/>
      <c r="H108" s="2"/>
      <c r="I108" s="2"/>
      <c r="J108" s="2"/>
    </row>
    <row r="109" spans="1:10" s="9" customFormat="1" x14ac:dyDescent="0.35">
      <c r="A109" s="1"/>
      <c r="B109" s="1"/>
      <c r="F109" s="1"/>
      <c r="G109" s="1"/>
      <c r="H109" s="2"/>
      <c r="I109" s="2"/>
      <c r="J109" s="2"/>
    </row>
    <row r="110" spans="1:10" s="9" customFormat="1" x14ac:dyDescent="0.35">
      <c r="A110" s="1"/>
      <c r="B110" s="1"/>
      <c r="F110" s="1"/>
      <c r="G110" s="1"/>
      <c r="H110" s="2"/>
      <c r="I110" s="2"/>
      <c r="J110" s="2"/>
    </row>
    <row r="111" spans="1:10" s="9" customFormat="1" x14ac:dyDescent="0.35">
      <c r="A111" s="1"/>
      <c r="B111" s="1"/>
      <c r="F111" s="1"/>
      <c r="G111" s="1"/>
      <c r="H111" s="2"/>
      <c r="I111" s="2"/>
      <c r="J111" s="2"/>
    </row>
    <row r="112" spans="1:10" s="9" customFormat="1" x14ac:dyDescent="0.35">
      <c r="A112" s="1"/>
      <c r="B112" s="1"/>
      <c r="F112" s="1"/>
      <c r="G112" s="1"/>
      <c r="H112" s="2"/>
      <c r="I112" s="2"/>
      <c r="J112" s="2"/>
    </row>
    <row r="113" spans="1:10" s="9" customFormat="1" x14ac:dyDescent="0.35">
      <c r="A113" s="1"/>
      <c r="B113" s="1"/>
      <c r="F113" s="1"/>
      <c r="G113" s="1"/>
      <c r="H113" s="2"/>
      <c r="I113" s="2"/>
      <c r="J113" s="2"/>
    </row>
    <row r="114" spans="1:10" s="9" customFormat="1" x14ac:dyDescent="0.35">
      <c r="A114" s="1"/>
      <c r="B114" s="1"/>
      <c r="F114" s="1"/>
      <c r="G114" s="1"/>
      <c r="H114" s="2"/>
      <c r="I114" s="2"/>
      <c r="J114" s="2"/>
    </row>
    <row r="115" spans="1:10" s="9" customFormat="1" x14ac:dyDescent="0.35">
      <c r="A115" s="1"/>
      <c r="B115" s="1"/>
      <c r="F115" s="1"/>
      <c r="G115" s="1"/>
      <c r="H115" s="2"/>
      <c r="I115" s="2"/>
      <c r="J115" s="2"/>
    </row>
    <row r="116" spans="1:10" s="9" customFormat="1" x14ac:dyDescent="0.35">
      <c r="A116" s="1"/>
      <c r="B116" s="1"/>
      <c r="F116" s="1"/>
      <c r="G116" s="1"/>
      <c r="H116" s="2"/>
      <c r="I116" s="2"/>
      <c r="J116" s="2"/>
    </row>
    <row r="117" spans="1:10" s="9" customFormat="1" x14ac:dyDescent="0.35">
      <c r="A117" s="1"/>
      <c r="B117" s="1"/>
      <c r="F117" s="1"/>
      <c r="G117" s="1"/>
      <c r="H117" s="2"/>
      <c r="I117" s="2"/>
      <c r="J117" s="2"/>
    </row>
    <row r="118" spans="1:10" s="9" customFormat="1" x14ac:dyDescent="0.35">
      <c r="A118" s="1"/>
      <c r="B118" s="1"/>
      <c r="F118" s="1"/>
      <c r="G118" s="1"/>
      <c r="H118" s="2"/>
      <c r="I118" s="2"/>
      <c r="J118" s="2"/>
    </row>
    <row r="119" spans="1:10" s="9" customFormat="1" x14ac:dyDescent="0.35">
      <c r="A119" s="1"/>
      <c r="B119" s="1"/>
      <c r="F119" s="1"/>
      <c r="G119" s="1"/>
      <c r="H119" s="2"/>
      <c r="I119" s="2"/>
      <c r="J119" s="2"/>
    </row>
    <row r="120" spans="1:10" s="9" customFormat="1" x14ac:dyDescent="0.35">
      <c r="A120" s="1"/>
      <c r="B120" s="1"/>
      <c r="F120" s="1"/>
      <c r="G120" s="1"/>
      <c r="H120" s="2"/>
      <c r="I120" s="2"/>
      <c r="J120" s="2"/>
    </row>
    <row r="121" spans="1:10" s="9" customFormat="1" x14ac:dyDescent="0.35">
      <c r="A121" s="1"/>
      <c r="B121" s="1"/>
      <c r="F121" s="1"/>
      <c r="G121" s="1"/>
      <c r="H121" s="2"/>
      <c r="I121" s="2"/>
      <c r="J121" s="2"/>
    </row>
    <row r="122" spans="1:10" s="9" customFormat="1" x14ac:dyDescent="0.35">
      <c r="A122" s="1"/>
      <c r="B122" s="1"/>
      <c r="F122" s="1"/>
      <c r="G122" s="1"/>
      <c r="H122" s="2"/>
      <c r="I122" s="2"/>
      <c r="J122" s="2"/>
    </row>
    <row r="123" spans="1:10" s="9" customFormat="1" x14ac:dyDescent="0.35">
      <c r="A123" s="1"/>
      <c r="B123" s="1"/>
      <c r="F123" s="1"/>
      <c r="G123" s="1"/>
      <c r="H123" s="2"/>
      <c r="I123" s="2"/>
      <c r="J123" s="2"/>
    </row>
    <row r="124" spans="1:10" s="9" customFormat="1" x14ac:dyDescent="0.35">
      <c r="A124" s="1"/>
      <c r="B124" s="1"/>
      <c r="F124" s="1"/>
      <c r="G124" s="1"/>
      <c r="H124" s="2"/>
      <c r="I124" s="2"/>
      <c r="J124" s="2"/>
    </row>
    <row r="125" spans="1:10" s="9" customFormat="1" x14ac:dyDescent="0.35">
      <c r="A125" s="1"/>
      <c r="B125" s="1"/>
      <c r="F125" s="1"/>
      <c r="G125" s="1"/>
      <c r="H125" s="2"/>
      <c r="I125" s="2"/>
      <c r="J125" s="2"/>
    </row>
    <row r="126" spans="1:10" s="9" customFormat="1" x14ac:dyDescent="0.35">
      <c r="A126" s="1"/>
      <c r="B126" s="1"/>
      <c r="F126" s="1"/>
      <c r="G126" s="1"/>
      <c r="H126" s="2"/>
      <c r="I126" s="2"/>
      <c r="J126" s="2"/>
    </row>
    <row r="127" spans="1:10" s="9" customFormat="1" x14ac:dyDescent="0.35">
      <c r="A127" s="1"/>
      <c r="B127" s="1"/>
      <c r="F127" s="1"/>
      <c r="G127" s="1"/>
      <c r="H127" s="2"/>
      <c r="I127" s="2"/>
      <c r="J127" s="2"/>
    </row>
    <row r="128" spans="1:10" s="9" customFormat="1" x14ac:dyDescent="0.35">
      <c r="A128" s="1"/>
      <c r="B128" s="1"/>
      <c r="F128" s="1"/>
      <c r="G128" s="1"/>
      <c r="H128" s="2"/>
      <c r="I128" s="2"/>
      <c r="J128" s="2"/>
    </row>
    <row r="129" spans="1:10" s="9" customFormat="1" x14ac:dyDescent="0.35">
      <c r="A129" s="1"/>
      <c r="B129" s="1"/>
      <c r="F129" s="1"/>
      <c r="G129" s="1"/>
      <c r="H129" s="2"/>
      <c r="I129" s="2"/>
      <c r="J129" s="2"/>
    </row>
    <row r="130" spans="1:10" s="9" customFormat="1" x14ac:dyDescent="0.35">
      <c r="A130" s="1"/>
      <c r="B130" s="1"/>
      <c r="F130" s="1"/>
      <c r="G130" s="1"/>
      <c r="H130" s="2"/>
      <c r="I130" s="2"/>
      <c r="J130" s="2"/>
    </row>
    <row r="131" spans="1:10" s="9" customFormat="1" x14ac:dyDescent="0.35">
      <c r="A131" s="1"/>
      <c r="B131" s="1"/>
      <c r="F131" s="1"/>
      <c r="G131" s="1"/>
      <c r="H131" s="2"/>
      <c r="I131" s="2"/>
      <c r="J131" s="2"/>
    </row>
    <row r="132" spans="1:10" s="9" customFormat="1" x14ac:dyDescent="0.35">
      <c r="A132" s="1"/>
      <c r="B132" s="1"/>
      <c r="F132" s="1"/>
      <c r="G132" s="1"/>
      <c r="H132" s="2"/>
      <c r="I132" s="2"/>
      <c r="J132" s="2"/>
    </row>
    <row r="133" spans="1:10" s="9" customFormat="1" x14ac:dyDescent="0.35">
      <c r="A133" s="1"/>
      <c r="B133" s="1"/>
      <c r="F133" s="1"/>
      <c r="G133" s="1"/>
      <c r="H133" s="2"/>
      <c r="I133" s="2"/>
      <c r="J133" s="2"/>
    </row>
    <row r="134" spans="1:10" s="9" customFormat="1" x14ac:dyDescent="0.35">
      <c r="A134" s="1"/>
      <c r="B134" s="1"/>
      <c r="F134" s="1"/>
      <c r="G134" s="1"/>
      <c r="H134" s="2"/>
      <c r="I134" s="2"/>
      <c r="J134" s="2"/>
    </row>
    <row r="135" spans="1:10" s="9" customFormat="1" x14ac:dyDescent="0.35">
      <c r="A135" s="1"/>
      <c r="B135" s="1"/>
      <c r="F135" s="1"/>
      <c r="G135" s="1"/>
      <c r="H135" s="2"/>
      <c r="I135" s="2"/>
      <c r="J135" s="2"/>
    </row>
    <row r="136" spans="1:10" s="9" customFormat="1" x14ac:dyDescent="0.35">
      <c r="A136" s="1"/>
      <c r="B136" s="1"/>
      <c r="F136" s="1"/>
      <c r="G136" s="1"/>
      <c r="H136" s="2"/>
      <c r="I136" s="2"/>
      <c r="J136" s="2"/>
    </row>
    <row r="137" spans="1:10" s="9" customFormat="1" x14ac:dyDescent="0.35">
      <c r="A137" s="1"/>
      <c r="B137" s="1"/>
      <c r="F137" s="1"/>
      <c r="G137" s="1"/>
      <c r="H137" s="2"/>
      <c r="I137" s="2"/>
      <c r="J137" s="2"/>
    </row>
    <row r="138" spans="1:10" s="9" customFormat="1" x14ac:dyDescent="0.35">
      <c r="A138" s="1"/>
      <c r="B138" s="1"/>
      <c r="F138" s="1"/>
      <c r="G138" s="1"/>
      <c r="H138" s="2"/>
      <c r="I138" s="2"/>
      <c r="J138" s="2"/>
    </row>
    <row r="139" spans="1:10" s="9" customFormat="1" x14ac:dyDescent="0.35">
      <c r="A139" s="1"/>
      <c r="B139" s="1"/>
      <c r="F139" s="1"/>
      <c r="G139" s="1"/>
      <c r="H139" s="2"/>
      <c r="I139" s="2"/>
      <c r="J139" s="2"/>
    </row>
    <row r="140" spans="1:10" s="9" customFormat="1" x14ac:dyDescent="0.35">
      <c r="A140" s="1"/>
      <c r="B140" s="1"/>
      <c r="F140" s="1"/>
      <c r="G140" s="1"/>
      <c r="H140" s="2"/>
      <c r="I140" s="2"/>
      <c r="J140" s="2"/>
    </row>
    <row r="141" spans="1:10" s="9" customFormat="1" x14ac:dyDescent="0.35">
      <c r="A141" s="1"/>
      <c r="B141" s="1"/>
      <c r="F141" s="1"/>
      <c r="G141" s="1"/>
      <c r="H141" s="2"/>
      <c r="I141" s="2"/>
      <c r="J141" s="2"/>
    </row>
    <row r="142" spans="1:10" s="9" customFormat="1" x14ac:dyDescent="0.35">
      <c r="A142" s="1"/>
      <c r="B142" s="1"/>
      <c r="F142" s="1"/>
      <c r="G142" s="1"/>
      <c r="H142" s="2"/>
      <c r="I142" s="2"/>
      <c r="J142" s="2"/>
    </row>
    <row r="143" spans="1:10" s="9" customFormat="1" x14ac:dyDescent="0.35">
      <c r="A143" s="1"/>
      <c r="B143" s="1"/>
      <c r="F143" s="1"/>
      <c r="G143" s="1"/>
      <c r="H143" s="2"/>
      <c r="I143" s="2"/>
      <c r="J143" s="2"/>
    </row>
    <row r="144" spans="1:10" s="9" customFormat="1" x14ac:dyDescent="0.35">
      <c r="A144" s="1"/>
      <c r="B144" s="1"/>
      <c r="F144" s="1"/>
      <c r="G144" s="1"/>
      <c r="H144" s="2"/>
      <c r="I144" s="2"/>
      <c r="J144" s="2"/>
    </row>
    <row r="145" spans="1:10" s="9" customFormat="1" x14ac:dyDescent="0.35">
      <c r="A145" s="1"/>
      <c r="B145" s="1"/>
      <c r="F145" s="1"/>
      <c r="G145" s="1"/>
      <c r="H145" s="2"/>
      <c r="I145" s="2"/>
      <c r="J145" s="2"/>
    </row>
    <row r="146" spans="1:10" s="9" customFormat="1" x14ac:dyDescent="0.35">
      <c r="A146" s="1"/>
      <c r="B146" s="1"/>
      <c r="F146" s="1"/>
      <c r="G146" s="1"/>
      <c r="H146" s="2"/>
      <c r="I146" s="2"/>
      <c r="J146" s="2"/>
    </row>
    <row r="147" spans="1:10" s="9" customFormat="1" x14ac:dyDescent="0.35">
      <c r="A147" s="1"/>
      <c r="B147" s="1"/>
      <c r="F147" s="1"/>
      <c r="G147" s="1"/>
      <c r="H147" s="2"/>
      <c r="I147" s="2"/>
      <c r="J147" s="2"/>
    </row>
    <row r="148" spans="1:10" s="9" customFormat="1" x14ac:dyDescent="0.35">
      <c r="A148" s="1"/>
      <c r="B148" s="1"/>
      <c r="F148" s="1"/>
      <c r="G148" s="1"/>
      <c r="H148" s="2"/>
      <c r="I148" s="2"/>
      <c r="J148" s="2"/>
    </row>
    <row r="149" spans="1:10" s="9" customFormat="1" x14ac:dyDescent="0.35">
      <c r="A149" s="1"/>
      <c r="B149" s="1"/>
      <c r="F149" s="1"/>
      <c r="G149" s="1"/>
      <c r="H149" s="2"/>
      <c r="I149" s="2"/>
      <c r="J149" s="2"/>
    </row>
    <row r="150" spans="1:10" s="9" customFormat="1" x14ac:dyDescent="0.35">
      <c r="A150" s="1"/>
      <c r="B150" s="1"/>
      <c r="F150" s="1"/>
      <c r="G150" s="1"/>
      <c r="H150" s="2"/>
      <c r="I150" s="2"/>
      <c r="J150" s="2"/>
    </row>
    <row r="151" spans="1:10" s="9" customFormat="1" x14ac:dyDescent="0.35">
      <c r="A151" s="1"/>
      <c r="B151" s="1"/>
      <c r="F151" s="1"/>
      <c r="G151" s="1"/>
      <c r="H151" s="2"/>
      <c r="I151" s="2"/>
      <c r="J151" s="2"/>
    </row>
    <row r="152" spans="1:10" s="9" customFormat="1" x14ac:dyDescent="0.35">
      <c r="A152" s="1"/>
      <c r="B152" s="1"/>
      <c r="F152" s="1"/>
      <c r="G152" s="1"/>
      <c r="H152" s="2"/>
      <c r="I152" s="2"/>
      <c r="J152" s="2"/>
    </row>
    <row r="153" spans="1:10" s="9" customFormat="1" x14ac:dyDescent="0.35">
      <c r="A153" s="1"/>
      <c r="B153" s="1"/>
      <c r="F153" s="1"/>
      <c r="G153" s="1"/>
      <c r="H153" s="2"/>
      <c r="I153" s="2"/>
      <c r="J153" s="2"/>
    </row>
    <row r="154" spans="1:10" s="9" customFormat="1" x14ac:dyDescent="0.35">
      <c r="A154" s="1"/>
      <c r="B154" s="1"/>
      <c r="F154" s="1"/>
      <c r="G154" s="1"/>
      <c r="H154" s="2"/>
      <c r="I154" s="2"/>
      <c r="J154" s="2"/>
    </row>
    <row r="155" spans="1:10" s="9" customFormat="1" x14ac:dyDescent="0.35">
      <c r="A155" s="1"/>
      <c r="B155" s="1"/>
      <c r="F155" s="1"/>
      <c r="G155" s="1"/>
      <c r="H155" s="2"/>
      <c r="I155" s="2"/>
      <c r="J155" s="2"/>
    </row>
    <row r="156" spans="1:10" s="9" customFormat="1" x14ac:dyDescent="0.35">
      <c r="A156" s="1"/>
      <c r="B156" s="1"/>
      <c r="F156" s="1"/>
      <c r="G156" s="1"/>
      <c r="H156" s="2"/>
      <c r="I156" s="2"/>
      <c r="J156" s="2"/>
    </row>
    <row r="157" spans="1:10" s="9" customFormat="1" x14ac:dyDescent="0.35">
      <c r="A157" s="1"/>
      <c r="B157" s="1"/>
      <c r="F157" s="1"/>
      <c r="G157" s="1"/>
      <c r="H157" s="2"/>
      <c r="I157" s="2"/>
      <c r="J157" s="2"/>
    </row>
    <row r="158" spans="1:10" s="9" customFormat="1" x14ac:dyDescent="0.35">
      <c r="A158" s="1"/>
      <c r="B158" s="1"/>
      <c r="F158" s="1"/>
      <c r="G158" s="1"/>
      <c r="H158" s="2"/>
      <c r="I158" s="2"/>
      <c r="J158" s="2"/>
    </row>
    <row r="159" spans="1:10" s="9" customFormat="1" x14ac:dyDescent="0.35">
      <c r="A159" s="1"/>
      <c r="B159" s="1"/>
      <c r="F159" s="1"/>
      <c r="G159" s="1"/>
      <c r="H159" s="2"/>
      <c r="I159" s="2"/>
      <c r="J159" s="2"/>
    </row>
    <row r="160" spans="1:10" s="9" customFormat="1" x14ac:dyDescent="0.35">
      <c r="A160" s="1"/>
      <c r="B160" s="1"/>
      <c r="F160" s="1"/>
      <c r="G160" s="1"/>
      <c r="H160" s="2"/>
      <c r="I160" s="2"/>
      <c r="J160" s="2"/>
    </row>
    <row r="161" spans="1:10" s="9" customFormat="1" x14ac:dyDescent="0.35">
      <c r="A161" s="1"/>
      <c r="B161" s="1"/>
      <c r="F161" s="1"/>
      <c r="G161" s="1"/>
      <c r="H161" s="2"/>
      <c r="I161" s="2"/>
      <c r="J161" s="2"/>
    </row>
    <row r="162" spans="1:10" s="9" customFormat="1" x14ac:dyDescent="0.35">
      <c r="A162" s="1"/>
      <c r="B162" s="1"/>
      <c r="F162" s="1"/>
      <c r="G162" s="1"/>
      <c r="H162" s="2"/>
      <c r="I162" s="2"/>
      <c r="J162" s="2"/>
    </row>
    <row r="163" spans="1:10" s="9" customFormat="1" x14ac:dyDescent="0.35">
      <c r="A163" s="1"/>
      <c r="B163" s="1"/>
      <c r="F163" s="1"/>
      <c r="G163" s="1"/>
      <c r="H163" s="2"/>
      <c r="I163" s="2"/>
      <c r="J163" s="2"/>
    </row>
    <row r="164" spans="1:10" s="9" customFormat="1" x14ac:dyDescent="0.35">
      <c r="A164" s="1"/>
      <c r="B164" s="1"/>
      <c r="F164" s="1"/>
      <c r="G164" s="1"/>
      <c r="H164" s="2"/>
      <c r="I164" s="2"/>
      <c r="J164" s="2"/>
    </row>
    <row r="165" spans="1:10" s="9" customFormat="1" x14ac:dyDescent="0.35">
      <c r="A165" s="1"/>
      <c r="B165" s="1"/>
      <c r="F165" s="1"/>
      <c r="G165" s="1"/>
      <c r="H165" s="2"/>
      <c r="I165" s="2"/>
      <c r="J165" s="2"/>
    </row>
    <row r="166" spans="1:10" s="9" customFormat="1" x14ac:dyDescent="0.35">
      <c r="A166" s="1"/>
      <c r="B166" s="1"/>
      <c r="F166" s="1"/>
      <c r="G166" s="1"/>
      <c r="H166" s="2"/>
      <c r="I166" s="2"/>
      <c r="J166" s="2"/>
    </row>
    <row r="167" spans="1:10" s="9" customFormat="1" x14ac:dyDescent="0.35">
      <c r="A167" s="1"/>
      <c r="B167" s="1"/>
      <c r="F167" s="1"/>
      <c r="G167" s="1"/>
      <c r="H167" s="2"/>
      <c r="I167" s="2"/>
      <c r="J167" s="2"/>
    </row>
    <row r="168" spans="1:10" s="9" customFormat="1" x14ac:dyDescent="0.35">
      <c r="A168" s="1"/>
      <c r="B168" s="1"/>
      <c r="F168" s="1"/>
      <c r="G168" s="1"/>
      <c r="H168" s="2"/>
      <c r="I168" s="2"/>
      <c r="J168" s="2"/>
    </row>
    <row r="169" spans="1:10" s="9" customFormat="1" x14ac:dyDescent="0.35">
      <c r="A169" s="1"/>
      <c r="B169" s="1"/>
      <c r="F169" s="1"/>
      <c r="G169" s="1"/>
      <c r="H169" s="2"/>
      <c r="I169" s="2"/>
      <c r="J169" s="2"/>
    </row>
    <row r="170" spans="1:10" s="9" customFormat="1" x14ac:dyDescent="0.35">
      <c r="A170" s="1"/>
      <c r="B170" s="1"/>
      <c r="F170" s="1"/>
      <c r="G170" s="1"/>
      <c r="H170" s="2"/>
      <c r="I170" s="2"/>
      <c r="J170" s="2"/>
    </row>
    <row r="171" spans="1:10" s="9" customFormat="1" x14ac:dyDescent="0.35">
      <c r="A171" s="1"/>
      <c r="B171" s="1"/>
      <c r="F171" s="1"/>
      <c r="G171" s="1"/>
      <c r="H171" s="2"/>
      <c r="I171" s="2"/>
      <c r="J171" s="2"/>
    </row>
    <row r="172" spans="1:10" s="9" customFormat="1" x14ac:dyDescent="0.35">
      <c r="A172" s="1"/>
      <c r="B172" s="1"/>
      <c r="F172" s="1"/>
      <c r="G172" s="1"/>
      <c r="H172" s="2"/>
      <c r="I172" s="2"/>
      <c r="J172" s="2"/>
    </row>
    <row r="173" spans="1:10" s="9" customFormat="1" x14ac:dyDescent="0.35">
      <c r="A173" s="1"/>
      <c r="B173" s="1"/>
      <c r="F173" s="1"/>
      <c r="G173" s="1"/>
      <c r="H173" s="2"/>
      <c r="I173" s="2"/>
      <c r="J173" s="2"/>
    </row>
    <row r="174" spans="1:10" s="9" customFormat="1" x14ac:dyDescent="0.35">
      <c r="A174" s="1"/>
      <c r="B174" s="1"/>
      <c r="F174" s="1"/>
      <c r="G174" s="1"/>
      <c r="H174" s="2"/>
      <c r="I174" s="2"/>
      <c r="J174" s="2"/>
    </row>
    <row r="175" spans="1:10" s="9" customFormat="1" x14ac:dyDescent="0.35">
      <c r="A175" s="1"/>
      <c r="B175" s="1"/>
      <c r="F175" s="1"/>
      <c r="G175" s="1"/>
      <c r="H175" s="2"/>
      <c r="I175" s="2"/>
      <c r="J175" s="2"/>
    </row>
    <row r="176" spans="1:10" s="9" customFormat="1" x14ac:dyDescent="0.35">
      <c r="A176" s="1"/>
      <c r="B176" s="1"/>
      <c r="F176" s="1"/>
      <c r="G176" s="1"/>
      <c r="H176" s="2"/>
      <c r="I176" s="2"/>
      <c r="J176" s="2"/>
    </row>
    <row r="177" spans="1:10" s="9" customFormat="1" x14ac:dyDescent="0.35">
      <c r="A177" s="1"/>
      <c r="B177" s="1"/>
      <c r="F177" s="1"/>
      <c r="G177" s="1"/>
      <c r="H177" s="2"/>
      <c r="I177" s="2"/>
      <c r="J177" s="2"/>
    </row>
    <row r="178" spans="1:10" s="9" customFormat="1" x14ac:dyDescent="0.35">
      <c r="A178" s="1"/>
      <c r="B178" s="1"/>
      <c r="F178" s="1"/>
      <c r="G178" s="1"/>
      <c r="H178" s="2"/>
      <c r="I178" s="2"/>
      <c r="J178" s="2"/>
    </row>
    <row r="179" spans="1:10" s="9" customFormat="1" x14ac:dyDescent="0.35">
      <c r="A179" s="1"/>
      <c r="B179" s="1"/>
      <c r="F179" s="1"/>
      <c r="G179" s="1"/>
      <c r="H179" s="2"/>
      <c r="I179" s="2"/>
      <c r="J179" s="2"/>
    </row>
    <row r="180" spans="1:10" s="9" customFormat="1" x14ac:dyDescent="0.35">
      <c r="A180" s="1"/>
      <c r="B180" s="1"/>
      <c r="F180" s="1"/>
      <c r="G180" s="1"/>
      <c r="H180" s="2"/>
      <c r="I180" s="2"/>
      <c r="J180" s="2"/>
    </row>
    <row r="181" spans="1:10" s="9" customFormat="1" x14ac:dyDescent="0.35">
      <c r="A181" s="1"/>
      <c r="B181" s="1"/>
      <c r="F181" s="1"/>
      <c r="G181" s="1"/>
      <c r="H181" s="2"/>
      <c r="I181" s="2"/>
      <c r="J181" s="2"/>
    </row>
    <row r="182" spans="1:10" s="9" customFormat="1" x14ac:dyDescent="0.35">
      <c r="A182" s="1"/>
      <c r="B182" s="1"/>
      <c r="F182" s="1"/>
      <c r="G182" s="1"/>
      <c r="H182" s="2"/>
      <c r="I182" s="2"/>
      <c r="J182" s="2"/>
    </row>
    <row r="183" spans="1:10" s="9" customFormat="1" x14ac:dyDescent="0.35">
      <c r="A183" s="1"/>
      <c r="B183" s="1"/>
      <c r="F183" s="1"/>
      <c r="G183" s="1"/>
      <c r="H183" s="2"/>
      <c r="I183" s="2"/>
      <c r="J183" s="2"/>
    </row>
    <row r="184" spans="1:10" s="9" customFormat="1" x14ac:dyDescent="0.35">
      <c r="A184" s="1"/>
      <c r="B184" s="1"/>
      <c r="F184" s="1"/>
      <c r="G184" s="1"/>
      <c r="H184" s="2"/>
      <c r="I184" s="2"/>
      <c r="J184" s="2"/>
    </row>
    <row r="185" spans="1:10" s="9" customFormat="1" x14ac:dyDescent="0.35">
      <c r="A185" s="1"/>
      <c r="B185" s="1"/>
      <c r="F185" s="1"/>
      <c r="G185" s="1"/>
      <c r="H185" s="2"/>
      <c r="I185" s="2"/>
      <c r="J185" s="2"/>
    </row>
    <row r="186" spans="1:10" s="9" customFormat="1" x14ac:dyDescent="0.35">
      <c r="A186" s="1"/>
      <c r="B186" s="1"/>
      <c r="F186" s="1"/>
      <c r="G186" s="1"/>
      <c r="H186" s="2"/>
      <c r="I186" s="2"/>
      <c r="J186" s="2"/>
    </row>
    <row r="187" spans="1:10" s="9" customFormat="1" x14ac:dyDescent="0.35">
      <c r="A187" s="1"/>
      <c r="B187" s="1"/>
      <c r="F187" s="1"/>
      <c r="G187" s="1"/>
      <c r="H187" s="2"/>
      <c r="I187" s="2"/>
      <c r="J187" s="2"/>
    </row>
    <row r="188" spans="1:10" s="9" customFormat="1" x14ac:dyDescent="0.35">
      <c r="A188" s="1"/>
      <c r="B188" s="1"/>
      <c r="F188" s="1"/>
      <c r="G188" s="1"/>
      <c r="H188" s="2"/>
      <c r="I188" s="2"/>
      <c r="J188" s="2"/>
    </row>
    <row r="189" spans="1:10" s="9" customFormat="1" x14ac:dyDescent="0.35">
      <c r="A189" s="1"/>
      <c r="B189" s="1"/>
      <c r="F189" s="1"/>
      <c r="G189" s="1"/>
      <c r="H189" s="2"/>
      <c r="I189" s="2"/>
      <c r="J189" s="2"/>
    </row>
    <row r="190" spans="1:10" s="9" customFormat="1" x14ac:dyDescent="0.35">
      <c r="A190" s="1"/>
      <c r="B190" s="1"/>
      <c r="F190" s="1"/>
      <c r="G190" s="1"/>
      <c r="H190" s="2"/>
      <c r="I190" s="2"/>
      <c r="J190" s="2"/>
    </row>
    <row r="191" spans="1:10" s="9" customFormat="1" x14ac:dyDescent="0.35">
      <c r="A191" s="1"/>
      <c r="B191" s="1"/>
      <c r="F191" s="1"/>
      <c r="G191" s="1"/>
      <c r="H191" s="2"/>
      <c r="I191" s="2"/>
      <c r="J191" s="2"/>
    </row>
    <row r="192" spans="1:10" s="9" customFormat="1" x14ac:dyDescent="0.35">
      <c r="A192" s="1"/>
      <c r="B192" s="1"/>
      <c r="F192" s="1"/>
      <c r="G192" s="1"/>
      <c r="H192" s="2"/>
      <c r="I192" s="2"/>
      <c r="J192" s="2"/>
    </row>
    <row r="193" spans="1:10" s="9" customFormat="1" x14ac:dyDescent="0.35">
      <c r="A193" s="1"/>
      <c r="B193" s="1"/>
      <c r="F193" s="1"/>
      <c r="G193" s="1"/>
      <c r="H193" s="2"/>
      <c r="I193" s="2"/>
      <c r="J193" s="2"/>
    </row>
    <row r="194" spans="1:10" s="9" customFormat="1" x14ac:dyDescent="0.35">
      <c r="A194" s="1"/>
      <c r="B194" s="1"/>
      <c r="F194" s="1"/>
      <c r="G194" s="1"/>
      <c r="H194" s="2"/>
      <c r="I194" s="2"/>
      <c r="J194" s="2"/>
    </row>
    <row r="195" spans="1:10" s="9" customFormat="1" x14ac:dyDescent="0.35">
      <c r="A195" s="1"/>
      <c r="B195" s="1"/>
      <c r="F195" s="1"/>
      <c r="G195" s="1"/>
      <c r="H195" s="2"/>
      <c r="I195" s="2"/>
      <c r="J195" s="2"/>
    </row>
    <row r="196" spans="1:10" s="9" customFormat="1" x14ac:dyDescent="0.35">
      <c r="A196" s="1"/>
      <c r="B196" s="1"/>
      <c r="F196" s="1"/>
      <c r="G196" s="1"/>
      <c r="H196" s="2"/>
      <c r="I196" s="2"/>
      <c r="J196" s="2"/>
    </row>
    <row r="197" spans="1:10" s="9" customFormat="1" x14ac:dyDescent="0.35">
      <c r="A197" s="1"/>
      <c r="B197" s="1"/>
      <c r="F197" s="1"/>
      <c r="G197" s="1"/>
      <c r="H197" s="2"/>
      <c r="I197" s="2"/>
      <c r="J197" s="2"/>
    </row>
    <row r="198" spans="1:10" s="9" customFormat="1" x14ac:dyDescent="0.35">
      <c r="A198" s="1"/>
      <c r="B198" s="1"/>
      <c r="F198" s="1"/>
      <c r="G198" s="1"/>
      <c r="H198" s="2"/>
      <c r="I198" s="2"/>
      <c r="J198" s="2"/>
    </row>
    <row r="199" spans="1:10" s="9" customFormat="1" x14ac:dyDescent="0.35">
      <c r="A199" s="1"/>
      <c r="B199" s="1"/>
      <c r="F199" s="1"/>
      <c r="G199" s="1"/>
      <c r="H199" s="2"/>
      <c r="I199" s="2"/>
      <c r="J199" s="2"/>
    </row>
    <row r="200" spans="1:10" s="9" customFormat="1" x14ac:dyDescent="0.35">
      <c r="A200" s="1"/>
      <c r="B200" s="1"/>
      <c r="F200" s="1"/>
      <c r="G200" s="1"/>
      <c r="H200" s="2"/>
      <c r="I200" s="2"/>
      <c r="J200" s="2"/>
    </row>
    <row r="201" spans="1:10" s="9" customFormat="1" x14ac:dyDescent="0.35">
      <c r="A201" s="1"/>
      <c r="B201" s="1"/>
      <c r="F201" s="1"/>
      <c r="G201" s="1"/>
      <c r="H201" s="2"/>
      <c r="I201" s="2"/>
      <c r="J201" s="2"/>
    </row>
    <row r="202" spans="1:10" s="9" customFormat="1" x14ac:dyDescent="0.35">
      <c r="A202" s="1"/>
      <c r="B202" s="1"/>
      <c r="F202" s="1"/>
      <c r="G202" s="1"/>
      <c r="H202" s="2"/>
      <c r="I202" s="2"/>
      <c r="J202" s="2"/>
    </row>
    <row r="203" spans="1:10" s="9" customFormat="1" x14ac:dyDescent="0.35">
      <c r="A203" s="1"/>
      <c r="B203" s="1"/>
      <c r="F203" s="1"/>
      <c r="G203" s="1"/>
      <c r="H203" s="2"/>
      <c r="I203" s="2"/>
      <c r="J203" s="2"/>
    </row>
    <row r="204" spans="1:10" s="9" customFormat="1" x14ac:dyDescent="0.35">
      <c r="A204" s="1"/>
      <c r="B204" s="1"/>
      <c r="F204" s="1"/>
      <c r="G204" s="1"/>
      <c r="H204" s="2"/>
      <c r="I204" s="2"/>
      <c r="J204" s="2"/>
    </row>
    <row r="205" spans="1:10" s="9" customFormat="1" x14ac:dyDescent="0.35">
      <c r="A205" s="1"/>
      <c r="B205" s="1"/>
      <c r="F205" s="1"/>
      <c r="G205" s="1"/>
      <c r="H205" s="2"/>
      <c r="I205" s="2"/>
      <c r="J205" s="2"/>
    </row>
    <row r="206" spans="1:10" s="9" customFormat="1" x14ac:dyDescent="0.35">
      <c r="A206" s="1"/>
      <c r="B206" s="1"/>
      <c r="F206" s="1"/>
      <c r="G206" s="1"/>
      <c r="H206" s="2"/>
      <c r="I206" s="2"/>
      <c r="J206" s="2"/>
    </row>
    <row r="207" spans="1:10" s="9" customFormat="1" x14ac:dyDescent="0.35">
      <c r="A207" s="1"/>
      <c r="B207" s="1"/>
      <c r="F207" s="1"/>
      <c r="G207" s="1"/>
      <c r="H207" s="2"/>
      <c r="I207" s="2"/>
      <c r="J207" s="2"/>
    </row>
    <row r="208" spans="1:10" s="9" customFormat="1" x14ac:dyDescent="0.35">
      <c r="A208" s="1"/>
      <c r="B208" s="1"/>
      <c r="F208" s="1"/>
      <c r="G208" s="1"/>
      <c r="H208" s="2"/>
      <c r="I208" s="2"/>
      <c r="J208" s="2"/>
    </row>
  </sheetData>
  <mergeCells count="4">
    <mergeCell ref="D37:F37"/>
    <mergeCell ref="G37:H37"/>
    <mergeCell ref="A38:L38"/>
    <mergeCell ref="C1:I1"/>
  </mergeCells>
  <conditionalFormatting sqref="C4:G4">
    <cfRule type="cellIs" dxfId="12" priority="2" operator="notEqual">
      <formula>0</formula>
    </cfRule>
  </conditionalFormatting>
  <conditionalFormatting sqref="H4:J4">
    <cfRule type="cellIs" dxfId="11" priority="1" operator="notEqual">
      <formula>0</formula>
    </cfRule>
  </conditionalFormatting>
  <pageMargins left="0.2" right="0.2" top="0.25" bottom="0.25" header="0.05" footer="0.05"/>
  <pageSetup paperSize="5" scale="73" orientation="landscape" r:id="rId1"/>
  <headerFooter scaleWithDoc="0" alignWithMargins="0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CC9900"/>
    <pageSetUpPr fitToPage="1"/>
  </sheetPr>
  <dimension ref="A1:O37"/>
  <sheetViews>
    <sheetView zoomScale="89" zoomScaleNormal="89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B25" sqref="B25"/>
    </sheetView>
  </sheetViews>
  <sheetFormatPr defaultColWidth="8.6328125" defaultRowHeight="15.5" x14ac:dyDescent="0.35"/>
  <cols>
    <col min="1" max="1" width="14.6328125" style="1" customWidth="1"/>
    <col min="2" max="2" width="34" style="1" customWidth="1"/>
    <col min="3" max="3" width="12.54296875" style="1" customWidth="1"/>
    <col min="4" max="6" width="11.6328125" style="9" customWidth="1"/>
    <col min="7" max="15" width="11.6328125" style="1" customWidth="1"/>
    <col min="16" max="16384" width="8.6328125" style="1"/>
  </cols>
  <sheetData>
    <row r="1" spans="1:15" ht="31.5" customHeight="1" x14ac:dyDescent="0.35">
      <c r="A1" s="522" t="s">
        <v>69</v>
      </c>
      <c r="B1" s="523"/>
      <c r="C1" s="35" t="s">
        <v>67</v>
      </c>
      <c r="D1" s="17" t="s">
        <v>31</v>
      </c>
      <c r="E1" s="17" t="s">
        <v>32</v>
      </c>
      <c r="F1" s="17" t="s">
        <v>33</v>
      </c>
      <c r="G1" s="15" t="s">
        <v>34</v>
      </c>
      <c r="H1" s="15" t="s">
        <v>35</v>
      </c>
      <c r="I1" s="15" t="s">
        <v>36</v>
      </c>
      <c r="J1" s="15" t="s">
        <v>37</v>
      </c>
      <c r="K1" s="15" t="s">
        <v>38</v>
      </c>
      <c r="L1" s="15" t="s">
        <v>39</v>
      </c>
      <c r="M1" s="15" t="s">
        <v>40</v>
      </c>
      <c r="N1" s="15" t="s">
        <v>51</v>
      </c>
      <c r="O1" s="15" t="s">
        <v>52</v>
      </c>
    </row>
    <row r="2" spans="1:15" x14ac:dyDescent="0.35">
      <c r="A2" s="37" t="s">
        <v>191</v>
      </c>
      <c r="B2" s="38"/>
      <c r="C2" s="39">
        <v>25332.04</v>
      </c>
      <c r="D2" s="40">
        <f>+C2</f>
        <v>25332.04</v>
      </c>
      <c r="E2" s="41">
        <f>+D27</f>
        <v>13857.230000000003</v>
      </c>
      <c r="F2" s="41">
        <f t="shared" ref="F2:O2" si="0">+E27</f>
        <v>13190.530000000002</v>
      </c>
      <c r="G2" s="41">
        <f t="shared" si="0"/>
        <v>17397.750000000004</v>
      </c>
      <c r="H2" s="41">
        <f t="shared" si="0"/>
        <v>23078.600000000002</v>
      </c>
      <c r="I2" s="41">
        <f t="shared" si="0"/>
        <v>23661.850000000002</v>
      </c>
      <c r="J2" s="41">
        <f t="shared" si="0"/>
        <v>23593.770000000004</v>
      </c>
      <c r="K2" s="41">
        <f t="shared" si="0"/>
        <v>22945.120000000003</v>
      </c>
      <c r="L2" s="41">
        <f t="shared" si="0"/>
        <v>22203.530000000002</v>
      </c>
      <c r="M2" s="41">
        <f t="shared" si="0"/>
        <v>21554.880000000001</v>
      </c>
      <c r="N2" s="41">
        <f t="shared" si="0"/>
        <v>20838.02</v>
      </c>
      <c r="O2" s="41">
        <f t="shared" si="0"/>
        <v>20524.690000000002</v>
      </c>
    </row>
    <row r="3" spans="1:15" x14ac:dyDescent="0.35">
      <c r="A3" s="3"/>
      <c r="B3" s="6"/>
      <c r="C3" s="32"/>
      <c r="D3" s="26"/>
      <c r="E3" s="26"/>
      <c r="F3" s="26"/>
      <c r="G3" s="26"/>
      <c r="H3" s="27"/>
      <c r="I3" s="27"/>
      <c r="J3" s="27"/>
      <c r="K3" s="27"/>
      <c r="L3" s="27"/>
      <c r="M3" s="27"/>
      <c r="N3" s="27"/>
      <c r="O3" s="27"/>
    </row>
    <row r="4" spans="1:15" x14ac:dyDescent="0.35">
      <c r="A4" s="24" t="s">
        <v>44</v>
      </c>
      <c r="B4" s="6"/>
      <c r="C4" s="32"/>
      <c r="D4" s="26"/>
      <c r="E4" s="26"/>
      <c r="F4" s="26"/>
      <c r="G4" s="26"/>
      <c r="H4" s="27"/>
      <c r="I4" s="27"/>
      <c r="J4" s="27"/>
      <c r="K4" s="27"/>
      <c r="L4" s="27"/>
      <c r="M4" s="27"/>
      <c r="N4" s="27"/>
      <c r="O4" s="27"/>
    </row>
    <row r="5" spans="1:15" x14ac:dyDescent="0.35">
      <c r="A5" s="1" t="s">
        <v>78</v>
      </c>
      <c r="C5" s="32">
        <f>SUM(D5:O5)</f>
        <v>13500</v>
      </c>
      <c r="D5" s="50"/>
      <c r="E5" s="50"/>
      <c r="F5" s="50">
        <v>4875</v>
      </c>
      <c r="G5" s="50">
        <v>6375</v>
      </c>
      <c r="H5" s="27">
        <v>1125</v>
      </c>
      <c r="I5" s="27">
        <v>750</v>
      </c>
      <c r="J5" s="27"/>
      <c r="K5" s="27"/>
      <c r="L5" s="27"/>
      <c r="M5" s="27"/>
      <c r="N5" s="27">
        <v>375</v>
      </c>
      <c r="O5" s="27"/>
    </row>
    <row r="6" spans="1:15" x14ac:dyDescent="0.35">
      <c r="A6" s="1" t="s">
        <v>73</v>
      </c>
      <c r="C6" s="33">
        <f>SUM(D6:O6)</f>
        <v>0.04</v>
      </c>
      <c r="D6" s="52">
        <v>0.04</v>
      </c>
      <c r="E6" s="52"/>
      <c r="F6" s="52"/>
      <c r="G6" s="52"/>
      <c r="H6" s="53"/>
      <c r="I6" s="53"/>
      <c r="J6" s="53"/>
      <c r="K6" s="53"/>
      <c r="L6" s="53"/>
      <c r="M6" s="53"/>
      <c r="N6" s="53"/>
      <c r="O6" s="53"/>
    </row>
    <row r="7" spans="1:15" x14ac:dyDescent="0.35">
      <c r="A7" s="95" t="s">
        <v>49</v>
      </c>
      <c r="C7" s="54">
        <f>SUM(C5:C6)</f>
        <v>13500.04</v>
      </c>
      <c r="D7" s="51">
        <f>SUM(D5:D6)</f>
        <v>0.04</v>
      </c>
      <c r="E7" s="51">
        <f>SUM(E5:E6)</f>
        <v>0</v>
      </c>
      <c r="F7" s="51">
        <f t="shared" ref="F7:O7" si="1">SUM(F5:F6)</f>
        <v>4875</v>
      </c>
      <c r="G7" s="51">
        <f t="shared" si="1"/>
        <v>6375</v>
      </c>
      <c r="H7" s="51">
        <f t="shared" si="1"/>
        <v>1125</v>
      </c>
      <c r="I7" s="51">
        <f t="shared" si="1"/>
        <v>750</v>
      </c>
      <c r="J7" s="51">
        <f t="shared" si="1"/>
        <v>0</v>
      </c>
      <c r="K7" s="51">
        <f t="shared" si="1"/>
        <v>0</v>
      </c>
      <c r="L7" s="51">
        <f t="shared" si="1"/>
        <v>0</v>
      </c>
      <c r="M7" s="51">
        <f t="shared" si="1"/>
        <v>0</v>
      </c>
      <c r="N7" s="51">
        <f t="shared" si="1"/>
        <v>375</v>
      </c>
      <c r="O7" s="51">
        <f t="shared" si="1"/>
        <v>0</v>
      </c>
    </row>
    <row r="8" spans="1:15" x14ac:dyDescent="0.35">
      <c r="C8" s="32"/>
      <c r="D8" s="50"/>
      <c r="E8" s="50"/>
      <c r="F8" s="50"/>
      <c r="G8" s="27"/>
      <c r="H8" s="27"/>
      <c r="I8" s="27"/>
      <c r="J8" s="27"/>
      <c r="K8" s="27"/>
      <c r="L8" s="27"/>
      <c r="M8" s="27"/>
      <c r="N8" s="27"/>
      <c r="O8" s="27"/>
    </row>
    <row r="9" spans="1:15" x14ac:dyDescent="0.35">
      <c r="A9" s="24" t="s">
        <v>3</v>
      </c>
      <c r="C9" s="32"/>
      <c r="D9" s="26"/>
      <c r="E9" s="26"/>
      <c r="F9" s="26"/>
      <c r="G9" s="27"/>
      <c r="H9" s="27"/>
      <c r="I9" s="27"/>
      <c r="J9" s="27"/>
      <c r="K9" s="27"/>
      <c r="L9" s="27"/>
      <c r="M9" s="27"/>
      <c r="N9" s="27"/>
      <c r="O9" s="27"/>
    </row>
    <row r="10" spans="1:15" x14ac:dyDescent="0.35">
      <c r="A10" s="1" t="s">
        <v>48</v>
      </c>
      <c r="B10" s="1" t="s">
        <v>5</v>
      </c>
      <c r="C10" s="32">
        <f>SUM(D10:O10)</f>
        <v>690.85999999999979</v>
      </c>
      <c r="D10" s="26">
        <v>156.22999999999999</v>
      </c>
      <c r="E10" s="26">
        <v>10.53</v>
      </c>
      <c r="F10" s="26">
        <v>52.41</v>
      </c>
      <c r="G10" s="26">
        <v>52.41</v>
      </c>
      <c r="H10" s="26">
        <v>52.41</v>
      </c>
      <c r="I10" s="26">
        <v>52.41</v>
      </c>
      <c r="J10" s="26">
        <v>52.41</v>
      </c>
      <c r="K10" s="26">
        <v>52.41</v>
      </c>
      <c r="L10" s="26">
        <v>52.41</v>
      </c>
      <c r="M10" s="26">
        <v>52.41</v>
      </c>
      <c r="N10" s="26">
        <v>52.41</v>
      </c>
      <c r="O10" s="26">
        <v>52.41</v>
      </c>
    </row>
    <row r="11" spans="1:15" x14ac:dyDescent="0.35">
      <c r="C11" s="32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</row>
    <row r="12" spans="1:15" x14ac:dyDescent="0.35">
      <c r="A12" s="1" t="s">
        <v>272</v>
      </c>
      <c r="B12" s="1" t="s">
        <v>273</v>
      </c>
      <c r="C12" s="32">
        <f>SUM(D12:O12)</f>
        <v>6571.3300000000008</v>
      </c>
      <c r="D12" s="103">
        <v>519.30999999999995</v>
      </c>
      <c r="E12" s="103">
        <v>519.29999999999995</v>
      </c>
      <c r="F12" s="103">
        <v>519.29999999999995</v>
      </c>
      <c r="G12" s="103">
        <v>519.29999999999995</v>
      </c>
      <c r="H12" s="103">
        <v>519.29999999999995</v>
      </c>
      <c r="I12" s="103">
        <f>519.3</f>
        <v>519.29999999999995</v>
      </c>
      <c r="J12" s="103">
        <v>575.91999999999996</v>
      </c>
      <c r="K12" s="103">
        <v>575.91999999999996</v>
      </c>
      <c r="L12" s="103">
        <v>575.91999999999996</v>
      </c>
      <c r="M12" s="103">
        <v>575.91999999999996</v>
      </c>
      <c r="N12" s="103">
        <v>575.91999999999996</v>
      </c>
      <c r="O12" s="103">
        <v>575.91999999999996</v>
      </c>
    </row>
    <row r="13" spans="1:15" x14ac:dyDescent="0.35">
      <c r="B13" s="1" t="s">
        <v>277</v>
      </c>
      <c r="C13" s="32">
        <f>SUM(D13:O13)</f>
        <v>45</v>
      </c>
      <c r="D13" s="26"/>
      <c r="E13" s="26"/>
      <c r="F13" s="26"/>
      <c r="G13" s="26"/>
      <c r="H13" s="26"/>
      <c r="I13" s="26">
        <v>45</v>
      </c>
      <c r="J13" s="26"/>
      <c r="K13" s="26"/>
      <c r="L13" s="26"/>
      <c r="M13" s="26"/>
      <c r="N13" s="26"/>
      <c r="O13" s="26"/>
    </row>
    <row r="14" spans="1:15" x14ac:dyDescent="0.35">
      <c r="B14" s="1" t="s">
        <v>278</v>
      </c>
      <c r="C14" s="32">
        <f>SUM(D14:O14)</f>
        <v>10754.31</v>
      </c>
      <c r="D14" s="26">
        <v>10754.31</v>
      </c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</row>
    <row r="15" spans="1:15" x14ac:dyDescent="0.35">
      <c r="C15" s="32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</row>
    <row r="16" spans="1:15" x14ac:dyDescent="0.35">
      <c r="A16" s="1" t="s">
        <v>46</v>
      </c>
      <c r="B16" s="1" t="s">
        <v>253</v>
      </c>
      <c r="C16" s="32">
        <f>SUM(D16:O16)</f>
        <v>78.039999999999992</v>
      </c>
      <c r="D16" s="26">
        <v>45</v>
      </c>
      <c r="E16" s="26">
        <v>10</v>
      </c>
      <c r="F16" s="26">
        <v>10</v>
      </c>
      <c r="G16" s="28">
        <v>0</v>
      </c>
      <c r="H16" s="26">
        <v>-29.96</v>
      </c>
      <c r="I16" s="26">
        <v>78</v>
      </c>
      <c r="J16" s="26">
        <v>0</v>
      </c>
      <c r="K16" s="26">
        <v>0</v>
      </c>
      <c r="L16" s="26">
        <v>0</v>
      </c>
      <c r="M16" s="26">
        <v>-35</v>
      </c>
      <c r="N16" s="26"/>
      <c r="O16" s="26"/>
    </row>
    <row r="17" spans="1:15" x14ac:dyDescent="0.35">
      <c r="C17" s="32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</row>
    <row r="18" spans="1:15" x14ac:dyDescent="0.35">
      <c r="A18" s="1" t="s">
        <v>45</v>
      </c>
      <c r="B18" s="1" t="s">
        <v>16</v>
      </c>
      <c r="C18" s="32">
        <f>SUM(D18:O18)</f>
        <v>620.05000000000007</v>
      </c>
      <c r="D18" s="26"/>
      <c r="E18" s="26">
        <v>104.55</v>
      </c>
      <c r="F18" s="26">
        <v>0</v>
      </c>
      <c r="G18" s="26">
        <v>102.88</v>
      </c>
      <c r="H18" s="26"/>
      <c r="I18" s="26">
        <v>103.21</v>
      </c>
      <c r="J18" s="26"/>
      <c r="K18" s="26">
        <v>103.1</v>
      </c>
      <c r="L18" s="26"/>
      <c r="M18" s="26">
        <v>103.21</v>
      </c>
      <c r="N18" s="26"/>
      <c r="O18" s="26">
        <v>103.1</v>
      </c>
    </row>
    <row r="19" spans="1:15" x14ac:dyDescent="0.35">
      <c r="B19" s="1" t="s">
        <v>17</v>
      </c>
      <c r="C19" s="32">
        <f>SUM(D19:O19)</f>
        <v>123.91999999999999</v>
      </c>
      <c r="D19" s="26"/>
      <c r="E19" s="26">
        <f>12.16+10.16</f>
        <v>22.32</v>
      </c>
      <c r="F19" s="26"/>
      <c r="G19" s="26">
        <v>10.16</v>
      </c>
      <c r="H19" s="26"/>
      <c r="I19" s="26">
        <v>10.16</v>
      </c>
      <c r="J19" s="26">
        <v>20.32</v>
      </c>
      <c r="K19" s="26">
        <v>10.16</v>
      </c>
      <c r="L19" s="26">
        <v>20.32</v>
      </c>
      <c r="M19" s="26">
        <v>20.32</v>
      </c>
      <c r="N19" s="26"/>
      <c r="O19" s="26">
        <v>10.16</v>
      </c>
    </row>
    <row r="20" spans="1:15" x14ac:dyDescent="0.35">
      <c r="C20" s="32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</row>
    <row r="21" spans="1:15" x14ac:dyDescent="0.35">
      <c r="A21" s="1" t="s">
        <v>56</v>
      </c>
      <c r="B21" s="1" t="s">
        <v>66</v>
      </c>
      <c r="C21" s="32">
        <f>SUM(D21:O21)</f>
        <v>0</v>
      </c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</row>
    <row r="22" spans="1:15" x14ac:dyDescent="0.35">
      <c r="B22" s="1" t="s">
        <v>263</v>
      </c>
      <c r="C22" s="32">
        <f>SUM(D22:O22)</f>
        <v>165.47</v>
      </c>
      <c r="D22" s="26"/>
      <c r="E22" s="26"/>
      <c r="F22" s="26">
        <f>56.67+29.4</f>
        <v>86.07</v>
      </c>
      <c r="G22" s="26">
        <v>9.4</v>
      </c>
      <c r="H22" s="26"/>
      <c r="I22" s="26">
        <v>10</v>
      </c>
      <c r="J22" s="26"/>
      <c r="K22" s="26"/>
      <c r="L22" s="26"/>
      <c r="M22" s="26"/>
      <c r="N22" s="26">
        <v>60</v>
      </c>
      <c r="O22" s="26"/>
    </row>
    <row r="23" spans="1:15" x14ac:dyDescent="0.35">
      <c r="B23" s="1" t="s">
        <v>22</v>
      </c>
      <c r="C23" s="32">
        <f>SUM(D23:O23)</f>
        <v>0</v>
      </c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</row>
    <row r="24" spans="1:15" x14ac:dyDescent="0.35">
      <c r="B24" s="1" t="s">
        <v>383</v>
      </c>
      <c r="C24" s="33">
        <f>SUM(D24:O24)</f>
        <v>0</v>
      </c>
      <c r="D24" s="29">
        <v>0</v>
      </c>
      <c r="E24" s="29">
        <v>0</v>
      </c>
      <c r="F24" s="29">
        <v>0</v>
      </c>
      <c r="G24" s="29">
        <v>0</v>
      </c>
      <c r="H24" s="29">
        <v>0</v>
      </c>
      <c r="I24" s="29">
        <v>0</v>
      </c>
      <c r="J24" s="29">
        <v>0</v>
      </c>
      <c r="K24" s="29">
        <v>0</v>
      </c>
      <c r="L24" s="29">
        <v>0</v>
      </c>
      <c r="M24" s="29">
        <v>0</v>
      </c>
      <c r="N24" s="29">
        <v>0</v>
      </c>
      <c r="O24" s="29">
        <v>0</v>
      </c>
    </row>
    <row r="25" spans="1:15" x14ac:dyDescent="0.35">
      <c r="A25" s="25" t="s">
        <v>24</v>
      </c>
      <c r="C25" s="34">
        <f t="shared" ref="C25:O25" si="2">SUM(C10:C24)</f>
        <v>19048.98</v>
      </c>
      <c r="D25" s="30">
        <f t="shared" si="2"/>
        <v>11474.849999999999</v>
      </c>
      <c r="E25" s="30">
        <f t="shared" si="2"/>
        <v>666.69999999999993</v>
      </c>
      <c r="F25" s="30">
        <f t="shared" si="2"/>
        <v>667.78</v>
      </c>
      <c r="G25" s="30">
        <f t="shared" si="2"/>
        <v>694.14999999999986</v>
      </c>
      <c r="H25" s="30">
        <f t="shared" si="2"/>
        <v>541.74999999999989</v>
      </c>
      <c r="I25" s="30">
        <f t="shared" si="2"/>
        <v>818.07999999999993</v>
      </c>
      <c r="J25" s="30">
        <f t="shared" si="2"/>
        <v>648.65</v>
      </c>
      <c r="K25" s="30">
        <f t="shared" si="2"/>
        <v>741.58999999999992</v>
      </c>
      <c r="L25" s="30">
        <f t="shared" si="2"/>
        <v>648.65</v>
      </c>
      <c r="M25" s="30">
        <f t="shared" si="2"/>
        <v>716.86</v>
      </c>
      <c r="N25" s="30">
        <f t="shared" si="2"/>
        <v>688.32999999999993</v>
      </c>
      <c r="O25" s="30">
        <f t="shared" si="2"/>
        <v>741.58999999999992</v>
      </c>
    </row>
    <row r="26" spans="1:15" x14ac:dyDescent="0.35">
      <c r="C26" s="32"/>
      <c r="D26" s="10"/>
      <c r="E26" s="10"/>
      <c r="F26" s="10"/>
    </row>
    <row r="27" spans="1:15" ht="16" thickBot="1" x14ac:dyDescent="0.4">
      <c r="A27" s="37" t="s">
        <v>50</v>
      </c>
      <c r="B27" s="42"/>
      <c r="C27" s="55">
        <f t="shared" ref="C27:O27" si="3">+C2+C7-C25</f>
        <v>19783.100000000002</v>
      </c>
      <c r="D27" s="36">
        <f t="shared" si="3"/>
        <v>13857.230000000003</v>
      </c>
      <c r="E27" s="36">
        <f t="shared" si="3"/>
        <v>13190.530000000002</v>
      </c>
      <c r="F27" s="36">
        <f t="shared" si="3"/>
        <v>17397.750000000004</v>
      </c>
      <c r="G27" s="36">
        <f t="shared" si="3"/>
        <v>23078.600000000002</v>
      </c>
      <c r="H27" s="36">
        <f t="shared" si="3"/>
        <v>23661.850000000002</v>
      </c>
      <c r="I27" s="36">
        <f t="shared" si="3"/>
        <v>23593.770000000004</v>
      </c>
      <c r="J27" s="36">
        <f t="shared" si="3"/>
        <v>22945.120000000003</v>
      </c>
      <c r="K27" s="36">
        <f t="shared" si="3"/>
        <v>22203.530000000002</v>
      </c>
      <c r="L27" s="36">
        <f t="shared" si="3"/>
        <v>21554.880000000001</v>
      </c>
      <c r="M27" s="36">
        <f t="shared" si="3"/>
        <v>20838.02</v>
      </c>
      <c r="N27" s="36">
        <f t="shared" si="3"/>
        <v>20524.690000000002</v>
      </c>
      <c r="O27" s="36">
        <f t="shared" si="3"/>
        <v>19783.100000000002</v>
      </c>
    </row>
    <row r="28" spans="1:15" x14ac:dyDescent="0.35">
      <c r="A28" s="3"/>
      <c r="B28" s="1" t="s">
        <v>75</v>
      </c>
      <c r="C28" s="102">
        <f>+C27-C29</f>
        <v>0</v>
      </c>
    </row>
    <row r="29" spans="1:15" x14ac:dyDescent="0.35">
      <c r="A29"/>
      <c r="B29" s="1" t="s">
        <v>74</v>
      </c>
      <c r="C29" s="23">
        <f>+'2014 To 2020'!F5</f>
        <v>19783.099999999999</v>
      </c>
    </row>
    <row r="30" spans="1:15" x14ac:dyDescent="0.35">
      <c r="A30" s="59"/>
    </row>
    <row r="31" spans="1:15" x14ac:dyDescent="0.35">
      <c r="A31" s="1" t="s">
        <v>274</v>
      </c>
      <c r="B31" s="2"/>
      <c r="C31" s="281">
        <f>+C12</f>
        <v>6571.3300000000008</v>
      </c>
      <c r="D31" s="283">
        <f t="shared" ref="D31:D37" si="4">+C31/32</f>
        <v>205.35406250000003</v>
      </c>
    </row>
    <row r="32" spans="1:15" x14ac:dyDescent="0.35">
      <c r="A32" s="1" t="s">
        <v>275</v>
      </c>
      <c r="B32" s="2"/>
      <c r="C32" s="281">
        <f>+C13</f>
        <v>45</v>
      </c>
      <c r="D32" s="283">
        <f t="shared" si="4"/>
        <v>1.40625</v>
      </c>
    </row>
    <row r="33" spans="1:4" x14ac:dyDescent="0.35">
      <c r="A33" s="1" t="s">
        <v>266</v>
      </c>
      <c r="B33" s="2"/>
      <c r="C33" s="281">
        <f>+C14</f>
        <v>10754.31</v>
      </c>
      <c r="D33" s="283">
        <f t="shared" si="4"/>
        <v>336.07218749999998</v>
      </c>
    </row>
    <row r="34" spans="1:4" x14ac:dyDescent="0.35">
      <c r="A34" s="1" t="s">
        <v>4</v>
      </c>
      <c r="B34" s="2"/>
      <c r="C34" s="281">
        <f>+C10</f>
        <v>690.85999999999979</v>
      </c>
      <c r="D34" s="283">
        <f t="shared" si="4"/>
        <v>21.589374999999993</v>
      </c>
    </row>
    <row r="35" spans="1:4" x14ac:dyDescent="0.35">
      <c r="A35" s="1" t="s">
        <v>15</v>
      </c>
      <c r="B35" s="2"/>
      <c r="C35" s="281">
        <f>+C18+C19</f>
        <v>743.97</v>
      </c>
      <c r="D35" s="283">
        <f t="shared" si="4"/>
        <v>23.249062500000001</v>
      </c>
    </row>
    <row r="36" spans="1:4" x14ac:dyDescent="0.35">
      <c r="A36" s="1" t="s">
        <v>222</v>
      </c>
      <c r="B36" s="2"/>
      <c r="C36" s="282">
        <f>+C16+C21+C22+C23+C24</f>
        <v>243.51</v>
      </c>
      <c r="D36" s="284">
        <f t="shared" si="4"/>
        <v>7.6096874999999997</v>
      </c>
    </row>
    <row r="37" spans="1:4" x14ac:dyDescent="0.35">
      <c r="B37" s="2"/>
      <c r="C37" s="281">
        <f>SUM(C31:C36)</f>
        <v>19048.98</v>
      </c>
      <c r="D37" s="283">
        <f t="shared" si="4"/>
        <v>595.28062499999999</v>
      </c>
    </row>
  </sheetData>
  <mergeCells count="1">
    <mergeCell ref="A1:B1"/>
  </mergeCells>
  <conditionalFormatting sqref="C28:C29">
    <cfRule type="cellIs" dxfId="6" priority="1" operator="lessThan">
      <formula>0</formula>
    </cfRule>
  </conditionalFormatting>
  <pageMargins left="0.7" right="0.7" top="0.75" bottom="0.75" header="0.3" footer="0.3"/>
  <pageSetup scale="62" orientation="landscape" horizontalDpi="4294967293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0000"/>
    <pageSetUpPr fitToPage="1"/>
  </sheetPr>
  <dimension ref="A1:P60"/>
  <sheetViews>
    <sheetView zoomScaleNormal="100" workbookViewId="0">
      <pane xSplit="1" ySplit="5" topLeftCell="B39" activePane="bottomRight" state="frozen"/>
      <selection pane="topRight" activeCell="B1" sqref="B1"/>
      <selection pane="bottomLeft" activeCell="A6" sqref="A6"/>
      <selection pane="bottomRight" activeCell="D44" sqref="D44"/>
    </sheetView>
  </sheetViews>
  <sheetFormatPr defaultRowHeight="14.5" x14ac:dyDescent="0.35"/>
  <cols>
    <col min="1" max="1" width="9.90625" customWidth="1"/>
    <col min="2" max="2" width="11.6328125" customWidth="1"/>
    <col min="3" max="3" width="19.6328125" customWidth="1"/>
    <col min="4" max="4" width="8.36328125" customWidth="1"/>
    <col min="5" max="5" width="10.54296875" customWidth="1"/>
    <col min="6" max="6" width="8.90625" customWidth="1"/>
    <col min="7" max="7" width="9.90625" bestFit="1" customWidth="1"/>
    <col min="8" max="8" width="11" customWidth="1"/>
    <col min="12" max="12" width="9.90625" bestFit="1" customWidth="1"/>
    <col min="13" max="13" width="18.54296875" customWidth="1"/>
    <col min="14" max="14" width="10.08984375" bestFit="1" customWidth="1"/>
    <col min="15" max="15" width="10.6328125" customWidth="1"/>
  </cols>
  <sheetData>
    <row r="1" spans="1:15" ht="18.5" x14ac:dyDescent="0.45">
      <c r="A1" s="110">
        <v>2017</v>
      </c>
      <c r="B1" s="110" t="s">
        <v>92</v>
      </c>
      <c r="M1" s="115" t="s">
        <v>143</v>
      </c>
      <c r="N1" s="101">
        <f>+'2016 Ck Reg'!P69</f>
        <v>19783.100000000024</v>
      </c>
      <c r="O1" s="101">
        <f>+N2-N1</f>
        <v>0</v>
      </c>
    </row>
    <row r="2" spans="1:15" x14ac:dyDescent="0.35">
      <c r="A2" t="s">
        <v>98</v>
      </c>
      <c r="N2" s="112">
        <v>19783.099999999999</v>
      </c>
    </row>
    <row r="3" spans="1:15" x14ac:dyDescent="0.35">
      <c r="N3" s="101"/>
    </row>
    <row r="4" spans="1:15" x14ac:dyDescent="0.35">
      <c r="A4" s="109" t="s">
        <v>192</v>
      </c>
      <c r="N4" s="101"/>
    </row>
    <row r="5" spans="1:15" x14ac:dyDescent="0.35">
      <c r="A5" s="108" t="s">
        <v>76</v>
      </c>
      <c r="B5" s="109" t="s">
        <v>77</v>
      </c>
      <c r="C5" s="109" t="s">
        <v>106</v>
      </c>
      <c r="D5" s="109" t="s">
        <v>135</v>
      </c>
      <c r="E5" s="108" t="s">
        <v>78</v>
      </c>
      <c r="F5" s="108" t="s">
        <v>94</v>
      </c>
      <c r="G5" s="108" t="s">
        <v>95</v>
      </c>
      <c r="H5" s="108" t="s">
        <v>79</v>
      </c>
      <c r="I5" s="108" t="s">
        <v>96</v>
      </c>
      <c r="J5" s="108" t="s">
        <v>80</v>
      </c>
      <c r="K5" s="108" t="s">
        <v>81</v>
      </c>
      <c r="L5" s="108" t="s">
        <v>82</v>
      </c>
      <c r="M5" s="108" t="s">
        <v>97</v>
      </c>
      <c r="N5" s="111" t="s">
        <v>93</v>
      </c>
    </row>
    <row r="6" spans="1:15" x14ac:dyDescent="0.35">
      <c r="A6" s="105">
        <v>43482</v>
      </c>
      <c r="B6" s="101">
        <v>-575.91999999999996</v>
      </c>
      <c r="C6" s="101" t="s">
        <v>83</v>
      </c>
      <c r="D6" s="201">
        <v>1010</v>
      </c>
      <c r="E6" s="101"/>
      <c r="F6" s="101"/>
      <c r="G6" s="101">
        <f>+B6</f>
        <v>-575.91999999999996</v>
      </c>
      <c r="H6" s="101"/>
      <c r="I6" s="101"/>
      <c r="J6" s="101"/>
      <c r="K6" s="101"/>
      <c r="L6" s="101"/>
      <c r="M6" s="101"/>
      <c r="N6" s="101">
        <f>+N2+SUM(E6:L6)</f>
        <v>19207.18</v>
      </c>
      <c r="O6" s="101"/>
    </row>
    <row r="7" spans="1:15" x14ac:dyDescent="0.35">
      <c r="A7" s="105">
        <v>43488</v>
      </c>
      <c r="B7" s="101">
        <v>-52.41</v>
      </c>
      <c r="C7" s="101" t="s">
        <v>5</v>
      </c>
      <c r="D7" s="201" t="s">
        <v>154</v>
      </c>
      <c r="E7" s="101"/>
      <c r="F7" s="101">
        <f>+B7</f>
        <v>-52.41</v>
      </c>
      <c r="G7" s="101"/>
      <c r="H7" s="101"/>
      <c r="I7" s="101"/>
      <c r="J7" s="101"/>
      <c r="K7" s="101"/>
      <c r="L7" s="101"/>
      <c r="M7" s="101"/>
      <c r="N7" s="112">
        <f>+N6+SUM(E7:L7)</f>
        <v>19154.77</v>
      </c>
      <c r="O7" s="101">
        <v>19154.77</v>
      </c>
    </row>
    <row r="8" spans="1:15" x14ac:dyDescent="0.35">
      <c r="A8" s="105">
        <v>43506</v>
      </c>
      <c r="B8" s="101">
        <v>-575.91999999999996</v>
      </c>
      <c r="C8" s="101" t="s">
        <v>83</v>
      </c>
      <c r="D8" s="201">
        <v>1011</v>
      </c>
      <c r="E8" s="101"/>
      <c r="F8" s="101"/>
      <c r="G8" s="101">
        <f>+B8</f>
        <v>-575.91999999999996</v>
      </c>
      <c r="H8" s="101"/>
      <c r="I8" s="101"/>
      <c r="J8" s="101"/>
      <c r="K8" s="101"/>
      <c r="L8" s="101"/>
      <c r="M8" s="101"/>
      <c r="N8" s="101">
        <f t="shared" ref="N8:N18" si="0">+N7+SUM(E8:L8)</f>
        <v>18578.850000000002</v>
      </c>
      <c r="O8" s="101"/>
    </row>
    <row r="9" spans="1:15" x14ac:dyDescent="0.35">
      <c r="A9" s="105">
        <v>43509</v>
      </c>
      <c r="B9" s="101">
        <v>-10.16</v>
      </c>
      <c r="C9" s="101" t="s">
        <v>85</v>
      </c>
      <c r="D9" s="201">
        <v>1012</v>
      </c>
      <c r="E9" s="101"/>
      <c r="F9" s="101"/>
      <c r="G9" s="101"/>
      <c r="H9" s="101"/>
      <c r="I9" s="101">
        <f>+B9</f>
        <v>-10.16</v>
      </c>
      <c r="J9" s="101"/>
      <c r="K9" s="101"/>
      <c r="L9" s="101"/>
      <c r="M9" s="101"/>
      <c r="N9" s="101">
        <f t="shared" si="0"/>
        <v>18568.690000000002</v>
      </c>
      <c r="O9" s="101"/>
    </row>
    <row r="10" spans="1:15" x14ac:dyDescent="0.35">
      <c r="A10" s="105">
        <v>43512</v>
      </c>
      <c r="B10" s="101">
        <v>370</v>
      </c>
      <c r="C10" s="101" t="s">
        <v>78</v>
      </c>
      <c r="D10" s="201"/>
      <c r="E10" s="101">
        <f>+B10</f>
        <v>370</v>
      </c>
      <c r="F10" s="101"/>
      <c r="G10" s="101"/>
      <c r="H10" s="101"/>
      <c r="I10" s="101"/>
      <c r="J10" s="101"/>
      <c r="K10" s="101"/>
      <c r="L10" s="101"/>
      <c r="M10" s="101" t="s">
        <v>226</v>
      </c>
      <c r="N10" s="101">
        <f t="shared" si="0"/>
        <v>18938.690000000002</v>
      </c>
      <c r="O10" s="101"/>
    </row>
    <row r="11" spans="1:15" x14ac:dyDescent="0.35">
      <c r="A11" s="105">
        <v>43518</v>
      </c>
      <c r="B11" s="101">
        <v>-52.41</v>
      </c>
      <c r="C11" s="101" t="s">
        <v>5</v>
      </c>
      <c r="D11" s="201" t="s">
        <v>154</v>
      </c>
      <c r="E11" s="101"/>
      <c r="F11" s="101">
        <f>+B11</f>
        <v>-52.41</v>
      </c>
      <c r="G11" s="101"/>
      <c r="H11" s="101"/>
      <c r="I11" s="101"/>
      <c r="J11" s="101"/>
      <c r="K11" s="101"/>
      <c r="L11" s="101"/>
      <c r="M11" s="101"/>
      <c r="N11" s="101">
        <f t="shared" si="0"/>
        <v>18886.280000000002</v>
      </c>
      <c r="O11" s="101"/>
    </row>
    <row r="12" spans="1:15" x14ac:dyDescent="0.35">
      <c r="A12" s="105">
        <v>43519</v>
      </c>
      <c r="B12" s="101">
        <v>-103.1</v>
      </c>
      <c r="C12" s="101" t="s">
        <v>16</v>
      </c>
      <c r="D12" s="201">
        <v>1014</v>
      </c>
      <c r="E12" s="101"/>
      <c r="F12" s="101"/>
      <c r="G12" s="101"/>
      <c r="H12" s="101">
        <f>+B12</f>
        <v>-103.1</v>
      </c>
      <c r="I12" s="101"/>
      <c r="J12" s="101"/>
      <c r="K12" s="101"/>
      <c r="L12" s="101"/>
      <c r="M12" s="101"/>
      <c r="N12" s="112">
        <f t="shared" si="0"/>
        <v>18783.180000000004</v>
      </c>
      <c r="O12" s="101"/>
    </row>
    <row r="13" spans="1:15" x14ac:dyDescent="0.35">
      <c r="A13" s="105">
        <v>43530</v>
      </c>
      <c r="B13" s="101">
        <v>-20.32</v>
      </c>
      <c r="C13" s="101" t="s">
        <v>85</v>
      </c>
      <c r="D13" s="201">
        <v>1015</v>
      </c>
      <c r="E13" s="101"/>
      <c r="F13" s="101"/>
      <c r="G13" s="101"/>
      <c r="H13" s="101"/>
      <c r="I13" s="101">
        <f>+B13</f>
        <v>-20.32</v>
      </c>
      <c r="J13" s="101"/>
      <c r="K13" s="101"/>
      <c r="L13" s="101"/>
      <c r="M13" s="101"/>
      <c r="N13" s="101">
        <f t="shared" si="0"/>
        <v>18762.860000000004</v>
      </c>
      <c r="O13" s="101"/>
    </row>
    <row r="14" spans="1:15" x14ac:dyDescent="0.35">
      <c r="A14" s="105">
        <v>43531</v>
      </c>
      <c r="B14" s="101">
        <v>-19.600000000000001</v>
      </c>
      <c r="C14" s="101" t="s">
        <v>105</v>
      </c>
      <c r="D14" s="201" t="s">
        <v>154</v>
      </c>
      <c r="E14" s="101"/>
      <c r="F14" s="101"/>
      <c r="G14" s="101"/>
      <c r="H14" s="101"/>
      <c r="I14" s="101"/>
      <c r="J14" s="101"/>
      <c r="K14" s="101"/>
      <c r="L14" s="101">
        <f>+B14</f>
        <v>-19.600000000000001</v>
      </c>
      <c r="M14" s="101" t="s">
        <v>227</v>
      </c>
      <c r="N14" s="101">
        <f t="shared" si="0"/>
        <v>18743.260000000006</v>
      </c>
      <c r="O14" s="101"/>
    </row>
    <row r="15" spans="1:15" x14ac:dyDescent="0.35">
      <c r="A15" s="105">
        <v>43539</v>
      </c>
      <c r="B15" s="101">
        <v>-575.91999999999996</v>
      </c>
      <c r="C15" s="101" t="s">
        <v>83</v>
      </c>
      <c r="D15" s="201">
        <v>1016</v>
      </c>
      <c r="E15" s="101"/>
      <c r="F15" s="101"/>
      <c r="G15" s="101">
        <f>+B15</f>
        <v>-575.91999999999996</v>
      </c>
      <c r="H15" s="101"/>
      <c r="I15" s="101"/>
      <c r="J15" s="101"/>
      <c r="K15" s="101"/>
      <c r="L15" s="101"/>
      <c r="M15" s="101"/>
      <c r="N15" s="101">
        <f t="shared" si="0"/>
        <v>18167.340000000007</v>
      </c>
      <c r="O15" s="101"/>
    </row>
    <row r="16" spans="1:15" x14ac:dyDescent="0.35">
      <c r="A16" s="105">
        <v>43546</v>
      </c>
      <c r="B16" s="101">
        <v>-52.41</v>
      </c>
      <c r="C16" s="101" t="s">
        <v>5</v>
      </c>
      <c r="D16" s="201" t="s">
        <v>154</v>
      </c>
      <c r="E16" s="101"/>
      <c r="F16" s="101">
        <f>+B16</f>
        <v>-52.41</v>
      </c>
      <c r="G16" s="101"/>
      <c r="H16" s="101"/>
      <c r="I16" s="101"/>
      <c r="J16" s="101"/>
      <c r="K16" s="101"/>
      <c r="L16" s="101"/>
      <c r="M16" s="101"/>
      <c r="N16" s="101">
        <f t="shared" si="0"/>
        <v>18114.930000000008</v>
      </c>
      <c r="O16" s="101"/>
    </row>
    <row r="17" spans="1:16" x14ac:dyDescent="0.35">
      <c r="A17" s="105">
        <v>43555</v>
      </c>
      <c r="B17" s="101">
        <v>4500</v>
      </c>
      <c r="C17" s="101" t="s">
        <v>78</v>
      </c>
      <c r="D17" s="201"/>
      <c r="E17" s="101">
        <f>+B17</f>
        <v>4500</v>
      </c>
      <c r="F17" s="101"/>
      <c r="G17" s="101"/>
      <c r="H17" s="101"/>
      <c r="I17" s="101"/>
      <c r="J17" s="101"/>
      <c r="K17" s="101"/>
      <c r="L17" s="101"/>
      <c r="M17" s="101"/>
      <c r="N17" s="112">
        <f t="shared" si="0"/>
        <v>22614.930000000008</v>
      </c>
      <c r="O17" s="101">
        <v>22614.93</v>
      </c>
      <c r="P17" s="101"/>
    </row>
    <row r="18" spans="1:16" x14ac:dyDescent="0.35">
      <c r="A18" s="105">
        <v>43562</v>
      </c>
      <c r="B18" s="101">
        <v>3375</v>
      </c>
      <c r="C18" s="101" t="s">
        <v>78</v>
      </c>
      <c r="D18" s="201"/>
      <c r="E18" s="101">
        <f>+B18</f>
        <v>3375</v>
      </c>
      <c r="F18" s="101"/>
      <c r="G18" s="101"/>
      <c r="H18" s="101"/>
      <c r="I18" s="101"/>
      <c r="J18" s="101"/>
      <c r="K18" s="101"/>
      <c r="L18" s="101"/>
      <c r="M18" s="101"/>
      <c r="N18" s="101">
        <f t="shared" si="0"/>
        <v>25989.930000000008</v>
      </c>
      <c r="O18" s="101"/>
    </row>
    <row r="19" spans="1:16" x14ac:dyDescent="0.35">
      <c r="A19" s="105">
        <v>43566</v>
      </c>
      <c r="B19" s="101">
        <v>-104.96</v>
      </c>
      <c r="C19" s="101" t="s">
        <v>16</v>
      </c>
      <c r="D19" s="201">
        <v>2777</v>
      </c>
      <c r="E19" s="101"/>
      <c r="F19" s="101"/>
      <c r="G19" s="101"/>
      <c r="H19" s="101">
        <f>+B19</f>
        <v>-104.96</v>
      </c>
      <c r="I19" s="101"/>
      <c r="J19" s="101"/>
      <c r="K19" s="101"/>
      <c r="L19" s="101"/>
      <c r="M19" s="101"/>
      <c r="N19" s="101">
        <f t="shared" ref="N19:N44" si="1">+N18+SUM(E19:L19)</f>
        <v>25884.970000000008</v>
      </c>
      <c r="O19" s="101"/>
    </row>
    <row r="20" spans="1:16" x14ac:dyDescent="0.35">
      <c r="A20" s="105">
        <v>43567</v>
      </c>
      <c r="B20" s="101">
        <v>-575.91999999999996</v>
      </c>
      <c r="C20" s="101" t="s">
        <v>83</v>
      </c>
      <c r="D20" s="201">
        <v>2778</v>
      </c>
      <c r="E20" s="101"/>
      <c r="F20" s="101"/>
      <c r="G20" s="101">
        <f>+B20</f>
        <v>-575.91999999999996</v>
      </c>
      <c r="H20" s="101"/>
      <c r="I20" s="101"/>
      <c r="J20" s="101"/>
      <c r="K20" s="101"/>
      <c r="L20" s="101"/>
      <c r="M20" s="101"/>
      <c r="N20" s="101">
        <f t="shared" si="1"/>
        <v>25309.05000000001</v>
      </c>
      <c r="O20" s="101"/>
    </row>
    <row r="21" spans="1:16" x14ac:dyDescent="0.35">
      <c r="A21" s="105">
        <v>43579</v>
      </c>
      <c r="B21" s="101">
        <v>-52.41</v>
      </c>
      <c r="C21" s="101" t="s">
        <v>5</v>
      </c>
      <c r="D21" s="201" t="s">
        <v>154</v>
      </c>
      <c r="E21" s="101"/>
      <c r="F21" s="101">
        <f>+B21</f>
        <v>-52.41</v>
      </c>
      <c r="G21" s="101"/>
      <c r="H21" s="101"/>
      <c r="I21" s="101"/>
      <c r="J21" s="101"/>
      <c r="K21" s="101"/>
      <c r="L21" s="101"/>
      <c r="M21" s="101"/>
      <c r="N21" s="101">
        <f t="shared" si="1"/>
        <v>25256.64000000001</v>
      </c>
      <c r="O21" s="101"/>
    </row>
    <row r="22" spans="1:16" x14ac:dyDescent="0.35">
      <c r="A22" s="105">
        <v>43581</v>
      </c>
      <c r="B22" s="101">
        <v>1125</v>
      </c>
      <c r="C22" s="101" t="s">
        <v>78</v>
      </c>
      <c r="D22" s="201"/>
      <c r="E22" s="101">
        <f>+B22</f>
        <v>1125</v>
      </c>
      <c r="F22" s="101"/>
      <c r="G22" s="101"/>
      <c r="H22" s="101"/>
      <c r="I22" s="101"/>
      <c r="J22" s="101"/>
      <c r="K22" s="101"/>
      <c r="L22" s="101"/>
      <c r="M22" s="101"/>
      <c r="N22" s="101">
        <f t="shared" si="1"/>
        <v>26381.64000000001</v>
      </c>
      <c r="O22" s="101"/>
    </row>
    <row r="23" spans="1:16" x14ac:dyDescent="0.35">
      <c r="A23" s="105">
        <v>43581</v>
      </c>
      <c r="B23" s="101">
        <v>750</v>
      </c>
      <c r="C23" s="101" t="s">
        <v>78</v>
      </c>
      <c r="D23" s="201"/>
      <c r="E23" s="101">
        <f>+B23</f>
        <v>750</v>
      </c>
      <c r="F23" s="101"/>
      <c r="G23" s="101"/>
      <c r="H23" s="101"/>
      <c r="I23" s="101"/>
      <c r="J23" s="101"/>
      <c r="K23" s="101"/>
      <c r="L23" s="101"/>
      <c r="M23" s="101"/>
      <c r="N23" s="101">
        <f t="shared" si="1"/>
        <v>27131.64000000001</v>
      </c>
      <c r="O23" s="101"/>
    </row>
    <row r="24" spans="1:16" x14ac:dyDescent="0.35">
      <c r="A24" s="105">
        <v>43581</v>
      </c>
      <c r="B24" s="101">
        <v>-19.600000000000001</v>
      </c>
      <c r="C24" s="101" t="s">
        <v>105</v>
      </c>
      <c r="D24" s="201" t="s">
        <v>154</v>
      </c>
      <c r="E24" s="101"/>
      <c r="F24" s="101"/>
      <c r="G24" s="101"/>
      <c r="H24" s="101"/>
      <c r="I24" s="101"/>
      <c r="J24" s="101"/>
      <c r="K24" s="101"/>
      <c r="L24" s="101">
        <f>+B24</f>
        <v>-19.600000000000001</v>
      </c>
      <c r="M24" s="101" t="s">
        <v>227</v>
      </c>
      <c r="N24" s="101">
        <f t="shared" si="1"/>
        <v>27112.040000000012</v>
      </c>
      <c r="O24" s="101"/>
    </row>
    <row r="25" spans="1:16" x14ac:dyDescent="0.35">
      <c r="A25" s="105">
        <v>43583</v>
      </c>
      <c r="B25" s="101">
        <v>-10.16</v>
      </c>
      <c r="C25" s="101" t="s">
        <v>85</v>
      </c>
      <c r="D25" s="201">
        <v>2779</v>
      </c>
      <c r="E25" s="101"/>
      <c r="F25" s="101"/>
      <c r="G25" s="101"/>
      <c r="H25" s="101"/>
      <c r="I25" s="101">
        <f>+B25</f>
        <v>-10.16</v>
      </c>
      <c r="J25" s="101"/>
      <c r="K25" s="101"/>
      <c r="L25" s="101"/>
      <c r="M25" s="101"/>
      <c r="N25" s="112">
        <f t="shared" si="1"/>
        <v>27101.880000000012</v>
      </c>
      <c r="O25" s="101">
        <v>27101.88</v>
      </c>
      <c r="P25" s="101">
        <f>+N25-O25</f>
        <v>0</v>
      </c>
    </row>
    <row r="26" spans="1:16" x14ac:dyDescent="0.35">
      <c r="A26" s="105">
        <v>43588</v>
      </c>
      <c r="B26" s="101">
        <v>750</v>
      </c>
      <c r="C26" s="101" t="s">
        <v>78</v>
      </c>
      <c r="D26" s="201"/>
      <c r="E26" s="101">
        <f>+B26</f>
        <v>750</v>
      </c>
      <c r="F26" s="101"/>
      <c r="G26" s="101"/>
      <c r="H26" s="101"/>
      <c r="I26" s="101"/>
      <c r="J26" s="101"/>
      <c r="K26" s="101"/>
      <c r="L26" s="101"/>
      <c r="M26" s="101"/>
      <c r="N26" s="101">
        <f t="shared" si="1"/>
        <v>27851.880000000012</v>
      </c>
      <c r="O26" s="101"/>
    </row>
    <row r="27" spans="1:16" x14ac:dyDescent="0.35">
      <c r="A27" s="105">
        <v>43609</v>
      </c>
      <c r="B27" s="101">
        <v>-52.41</v>
      </c>
      <c r="C27" s="101" t="s">
        <v>5</v>
      </c>
      <c r="D27" s="201" t="s">
        <v>154</v>
      </c>
      <c r="E27" s="101"/>
      <c r="F27" s="101">
        <f>+B27</f>
        <v>-52.41</v>
      </c>
      <c r="G27" s="101"/>
      <c r="H27" s="101"/>
      <c r="I27" s="101"/>
      <c r="J27" s="101"/>
      <c r="K27" s="101"/>
      <c r="L27" s="101"/>
      <c r="M27" s="101"/>
      <c r="N27" s="101">
        <f t="shared" si="1"/>
        <v>27799.470000000012</v>
      </c>
      <c r="O27" s="112"/>
    </row>
    <row r="28" spans="1:16" x14ac:dyDescent="0.35">
      <c r="A28" s="105">
        <v>43601</v>
      </c>
      <c r="B28" s="101">
        <v>-578.54999999999995</v>
      </c>
      <c r="C28" s="101" t="s">
        <v>83</v>
      </c>
      <c r="D28" s="201">
        <v>1013</v>
      </c>
      <c r="E28" s="101"/>
      <c r="F28" s="101"/>
      <c r="G28" s="101">
        <f>+B28</f>
        <v>-578.54999999999995</v>
      </c>
      <c r="H28" s="101"/>
      <c r="I28" s="101"/>
      <c r="J28" s="101"/>
      <c r="K28" s="101"/>
      <c r="L28" s="101"/>
      <c r="M28" s="101"/>
      <c r="N28" s="112">
        <f t="shared" si="1"/>
        <v>27220.920000000013</v>
      </c>
      <c r="O28" s="101"/>
    </row>
    <row r="29" spans="1:16" x14ac:dyDescent="0.35">
      <c r="A29" s="105">
        <v>43637</v>
      </c>
      <c r="B29" s="101">
        <v>375</v>
      </c>
      <c r="C29" s="101" t="s">
        <v>78</v>
      </c>
      <c r="D29" s="201"/>
      <c r="E29" s="101">
        <f>+B29</f>
        <v>375</v>
      </c>
      <c r="F29" s="101"/>
      <c r="G29" s="101"/>
      <c r="H29" s="101"/>
      <c r="I29" s="101"/>
      <c r="J29" s="101"/>
      <c r="K29" s="101"/>
      <c r="L29" s="101"/>
      <c r="M29" s="101"/>
      <c r="N29" s="101">
        <f t="shared" si="1"/>
        <v>27595.920000000013</v>
      </c>
      <c r="O29" s="101"/>
    </row>
    <row r="30" spans="1:16" x14ac:dyDescent="0.35">
      <c r="A30" s="105">
        <v>43638</v>
      </c>
      <c r="B30" s="101">
        <v>-52.41</v>
      </c>
      <c r="C30" s="101" t="s">
        <v>5</v>
      </c>
      <c r="D30" s="201" t="s">
        <v>154</v>
      </c>
      <c r="E30" s="101"/>
      <c r="F30" s="101">
        <f>+B30</f>
        <v>-52.41</v>
      </c>
      <c r="G30" s="101"/>
      <c r="H30" s="101"/>
      <c r="I30" s="101"/>
      <c r="J30" s="101"/>
      <c r="K30" s="101"/>
      <c r="L30" s="101"/>
      <c r="M30" s="101"/>
      <c r="N30" s="101">
        <f t="shared" si="1"/>
        <v>27543.510000000013</v>
      </c>
      <c r="O30" s="101"/>
    </row>
    <row r="31" spans="1:16" x14ac:dyDescent="0.35">
      <c r="A31" s="105">
        <v>43623</v>
      </c>
      <c r="B31" s="101">
        <v>-10.16</v>
      </c>
      <c r="C31" s="101" t="s">
        <v>85</v>
      </c>
      <c r="D31" s="201">
        <v>1017</v>
      </c>
      <c r="E31" s="101"/>
      <c r="F31" s="101"/>
      <c r="G31" s="101"/>
      <c r="H31" s="101"/>
      <c r="I31" s="101">
        <f>+B31</f>
        <v>-10.16</v>
      </c>
      <c r="J31" s="101"/>
      <c r="K31" s="101"/>
      <c r="L31" s="101"/>
      <c r="M31" s="101"/>
      <c r="N31" s="101">
        <f t="shared" si="1"/>
        <v>27533.350000000013</v>
      </c>
      <c r="O31" s="101"/>
    </row>
    <row r="32" spans="1:16" x14ac:dyDescent="0.35">
      <c r="A32" s="105">
        <v>43639</v>
      </c>
      <c r="B32" s="101">
        <v>-10.16</v>
      </c>
      <c r="C32" s="101" t="s">
        <v>85</v>
      </c>
      <c r="D32" s="201">
        <v>1020</v>
      </c>
      <c r="E32" s="101"/>
      <c r="F32" s="101"/>
      <c r="G32" s="101"/>
      <c r="H32" s="101"/>
      <c r="I32" s="101">
        <f>+B32</f>
        <v>-10.16</v>
      </c>
      <c r="J32" s="101"/>
      <c r="K32" s="101"/>
      <c r="L32" s="101"/>
      <c r="M32" s="101"/>
      <c r="N32" s="101">
        <f t="shared" si="1"/>
        <v>27523.190000000013</v>
      </c>
      <c r="O32" s="101"/>
    </row>
    <row r="33" spans="1:16" x14ac:dyDescent="0.35">
      <c r="A33" s="105">
        <v>43623</v>
      </c>
      <c r="B33" s="101">
        <v>-586.87</v>
      </c>
      <c r="C33" s="101" t="s">
        <v>83</v>
      </c>
      <c r="D33" s="201">
        <v>1018</v>
      </c>
      <c r="E33" s="101"/>
      <c r="F33" s="101"/>
      <c r="G33" s="101">
        <f>+B33</f>
        <v>-586.87</v>
      </c>
      <c r="H33" s="101"/>
      <c r="I33" s="101"/>
      <c r="J33" s="101"/>
      <c r="K33" s="101"/>
      <c r="L33" s="101"/>
      <c r="M33" s="101"/>
      <c r="N33" s="101">
        <f t="shared" si="1"/>
        <v>26936.320000000014</v>
      </c>
      <c r="O33" s="101"/>
    </row>
    <row r="34" spans="1:16" x14ac:dyDescent="0.35">
      <c r="A34" s="105">
        <v>43642</v>
      </c>
      <c r="B34" s="101">
        <v>-105.21</v>
      </c>
      <c r="C34" s="101" t="s">
        <v>16</v>
      </c>
      <c r="D34" s="201">
        <v>1019</v>
      </c>
      <c r="E34" s="101"/>
      <c r="F34" s="101"/>
      <c r="G34" s="101"/>
      <c r="H34" s="101">
        <f>+B34</f>
        <v>-105.21</v>
      </c>
      <c r="I34" s="101"/>
      <c r="J34" s="101"/>
      <c r="K34" s="101"/>
      <c r="L34" s="101"/>
      <c r="M34" s="101"/>
      <c r="N34" s="112">
        <f t="shared" si="1"/>
        <v>26831.110000000015</v>
      </c>
      <c r="O34" s="101"/>
    </row>
    <row r="35" spans="1:16" x14ac:dyDescent="0.35">
      <c r="A35" s="105">
        <v>43670</v>
      </c>
      <c r="B35" s="101">
        <v>-52.41</v>
      </c>
      <c r="C35" s="101" t="s">
        <v>5</v>
      </c>
      <c r="D35" s="201" t="s">
        <v>154</v>
      </c>
      <c r="E35" s="101"/>
      <c r="F35" s="101">
        <f>+B35</f>
        <v>-52.41</v>
      </c>
      <c r="G35" s="101"/>
      <c r="H35" s="101"/>
      <c r="I35" s="101"/>
      <c r="J35" s="101"/>
      <c r="K35" s="101"/>
      <c r="L35" s="101"/>
      <c r="M35" s="101"/>
      <c r="N35" s="101">
        <f t="shared" si="1"/>
        <v>26778.700000000015</v>
      </c>
      <c r="O35" s="101"/>
    </row>
    <row r="36" spans="1:16" x14ac:dyDescent="0.35">
      <c r="A36" s="105">
        <v>43674</v>
      </c>
      <c r="B36" s="101">
        <v>-10.16</v>
      </c>
      <c r="C36" s="101" t="s">
        <v>85</v>
      </c>
      <c r="D36" s="201">
        <v>1022</v>
      </c>
      <c r="E36" s="101"/>
      <c r="F36" s="101"/>
      <c r="G36" s="101"/>
      <c r="H36" s="101"/>
      <c r="I36" s="101">
        <f>+B36</f>
        <v>-10.16</v>
      </c>
      <c r="J36" s="101"/>
      <c r="K36" s="101"/>
      <c r="L36" s="101"/>
      <c r="M36" s="101"/>
      <c r="N36" s="101">
        <f t="shared" si="1"/>
        <v>26768.540000000015</v>
      </c>
      <c r="O36" s="101"/>
    </row>
    <row r="37" spans="1:16" x14ac:dyDescent="0.35">
      <c r="A37" s="105">
        <v>43677</v>
      </c>
      <c r="B37" s="101">
        <v>-586.87</v>
      </c>
      <c r="C37" s="101" t="s">
        <v>83</v>
      </c>
      <c r="D37" s="201">
        <v>1021</v>
      </c>
      <c r="E37" s="101"/>
      <c r="F37" s="101"/>
      <c r="G37" s="101">
        <f>+B37</f>
        <v>-586.87</v>
      </c>
      <c r="H37" s="101"/>
      <c r="I37" s="101"/>
      <c r="J37" s="101"/>
      <c r="K37" s="101"/>
      <c r="L37" s="101"/>
      <c r="M37" s="101"/>
      <c r="N37" s="101">
        <f t="shared" si="1"/>
        <v>26181.670000000016</v>
      </c>
      <c r="O37" s="101">
        <v>26181.67</v>
      </c>
    </row>
    <row r="38" spans="1:16" x14ac:dyDescent="0.35">
      <c r="A38" s="105">
        <v>43699</v>
      </c>
      <c r="B38" s="101">
        <v>-10.16</v>
      </c>
      <c r="C38" s="101" t="s">
        <v>85</v>
      </c>
      <c r="D38" s="201" t="s">
        <v>154</v>
      </c>
      <c r="E38" s="101"/>
      <c r="F38" s="101"/>
      <c r="G38" s="101"/>
      <c r="H38" s="101"/>
      <c r="I38" s="101">
        <f>+B38</f>
        <v>-10.16</v>
      </c>
      <c r="J38" s="101"/>
      <c r="K38" s="101"/>
      <c r="L38" s="101"/>
      <c r="M38" s="101"/>
      <c r="N38" s="101">
        <f t="shared" si="1"/>
        <v>26171.510000000017</v>
      </c>
      <c r="O38" s="101"/>
    </row>
    <row r="39" spans="1:16" x14ac:dyDescent="0.35">
      <c r="A39" s="105">
        <v>43700</v>
      </c>
      <c r="B39" s="101">
        <v>-109.28</v>
      </c>
      <c r="C39" s="101" t="s">
        <v>16</v>
      </c>
      <c r="D39" s="201">
        <v>1022</v>
      </c>
      <c r="E39" s="101"/>
      <c r="F39" s="101"/>
      <c r="G39" s="101"/>
      <c r="H39" s="101">
        <f>+B39</f>
        <v>-109.28</v>
      </c>
      <c r="I39" s="101"/>
      <c r="J39" s="101"/>
      <c r="K39" s="101"/>
      <c r="L39" s="101"/>
      <c r="M39" s="101"/>
      <c r="N39" s="101">
        <f t="shared" si="1"/>
        <v>26062.230000000018</v>
      </c>
      <c r="O39" s="101"/>
    </row>
    <row r="40" spans="1:16" x14ac:dyDescent="0.35">
      <c r="A40" s="105">
        <v>43700</v>
      </c>
      <c r="B40" s="101">
        <v>-52.41</v>
      </c>
      <c r="C40" s="101" t="s">
        <v>5</v>
      </c>
      <c r="D40" s="201" t="s">
        <v>154</v>
      </c>
      <c r="E40" s="101"/>
      <c r="F40" s="101">
        <f>+B40</f>
        <v>-52.41</v>
      </c>
      <c r="G40" s="101"/>
      <c r="H40" s="101"/>
      <c r="I40" s="101"/>
      <c r="J40" s="101"/>
      <c r="K40" s="101"/>
      <c r="L40" s="101"/>
      <c r="M40" s="101"/>
      <c r="N40" s="101">
        <f t="shared" si="1"/>
        <v>26009.820000000018</v>
      </c>
      <c r="O40" s="101"/>
    </row>
    <row r="41" spans="1:16" x14ac:dyDescent="0.35">
      <c r="A41" s="105">
        <v>43705</v>
      </c>
      <c r="B41" s="101">
        <v>-45</v>
      </c>
      <c r="C41" s="101" t="s">
        <v>108</v>
      </c>
      <c r="D41" s="201">
        <v>1024</v>
      </c>
      <c r="E41" s="101"/>
      <c r="F41" s="101"/>
      <c r="G41" s="101">
        <f>+B41</f>
        <v>-45</v>
      </c>
      <c r="H41" s="101"/>
      <c r="I41" s="101"/>
      <c r="J41" s="101"/>
      <c r="K41" s="101"/>
      <c r="L41" s="101"/>
      <c r="M41" s="101"/>
      <c r="N41" s="101">
        <f t="shared" si="1"/>
        <v>25964.820000000018</v>
      </c>
      <c r="O41" s="101"/>
    </row>
    <row r="42" spans="1:16" x14ac:dyDescent="0.35">
      <c r="A42" s="105">
        <v>43706</v>
      </c>
      <c r="B42" s="101">
        <v>-586.87</v>
      </c>
      <c r="C42" s="101" t="s">
        <v>83</v>
      </c>
      <c r="D42" s="201">
        <v>1023</v>
      </c>
      <c r="E42" s="101"/>
      <c r="F42" s="101"/>
      <c r="G42" s="101">
        <f>+B42</f>
        <v>-586.87</v>
      </c>
      <c r="H42" s="101"/>
      <c r="I42" s="101"/>
      <c r="J42" s="101"/>
      <c r="K42" s="101"/>
      <c r="L42" s="101"/>
      <c r="M42" s="101"/>
      <c r="N42" s="101">
        <f t="shared" si="1"/>
        <v>25377.950000000019</v>
      </c>
      <c r="O42" s="101"/>
    </row>
    <row r="43" spans="1:16" x14ac:dyDescent="0.35">
      <c r="A43" s="105">
        <v>43701</v>
      </c>
      <c r="B43" s="101">
        <v>-10</v>
      </c>
      <c r="C43" s="101" t="s">
        <v>157</v>
      </c>
      <c r="D43" s="201" t="s">
        <v>154</v>
      </c>
      <c r="E43" s="101"/>
      <c r="F43" s="101"/>
      <c r="G43" s="101"/>
      <c r="H43" s="101"/>
      <c r="I43" s="101"/>
      <c r="J43" s="101"/>
      <c r="K43" s="101"/>
      <c r="L43" s="101">
        <f>+B43</f>
        <v>-10</v>
      </c>
      <c r="M43" s="101" t="s">
        <v>22</v>
      </c>
      <c r="N43" s="112">
        <f t="shared" si="1"/>
        <v>25367.950000000019</v>
      </c>
      <c r="O43" s="101">
        <v>25367.95</v>
      </c>
      <c r="P43" s="101">
        <f>+N43-O43</f>
        <v>0</v>
      </c>
    </row>
    <row r="44" spans="1:16" x14ac:dyDescent="0.35">
      <c r="A44" s="105">
        <v>43727</v>
      </c>
      <c r="B44" s="101">
        <v>-586.87</v>
      </c>
      <c r="C44" s="101" t="s">
        <v>83</v>
      </c>
      <c r="D44" s="201">
        <v>1025</v>
      </c>
      <c r="E44" s="101"/>
      <c r="F44" s="101"/>
      <c r="G44" s="101">
        <f>+B44</f>
        <v>-586.87</v>
      </c>
      <c r="H44" s="101"/>
      <c r="I44" s="101"/>
      <c r="J44" s="101"/>
      <c r="K44" s="101"/>
      <c r="L44" s="101"/>
      <c r="M44" s="101"/>
      <c r="N44" s="112">
        <f t="shared" si="1"/>
        <v>24781.08000000002</v>
      </c>
      <c r="O44" s="101">
        <v>24781.08</v>
      </c>
    </row>
    <row r="45" spans="1:16" x14ac:dyDescent="0.35">
      <c r="A45" s="105"/>
      <c r="B45" s="101"/>
      <c r="C45" s="101"/>
      <c r="D45" s="106"/>
      <c r="E45" s="101"/>
      <c r="F45" s="101"/>
      <c r="G45" s="101"/>
      <c r="H45" s="101"/>
      <c r="I45" s="101"/>
      <c r="J45" s="101"/>
      <c r="K45" s="101"/>
      <c r="L45" s="101"/>
      <c r="M45" s="101"/>
      <c r="N45" s="112"/>
      <c r="O45" s="101"/>
    </row>
    <row r="46" spans="1:16" x14ac:dyDescent="0.35">
      <c r="A46" s="105">
        <v>43727</v>
      </c>
      <c r="B46" s="120" t="s">
        <v>120</v>
      </c>
      <c r="C46" s="120"/>
      <c r="D46" s="202"/>
      <c r="E46" s="101"/>
      <c r="F46" s="101"/>
      <c r="G46" s="101"/>
      <c r="H46" s="101"/>
      <c r="I46" s="101"/>
      <c r="J46" s="101"/>
      <c r="K46" s="101"/>
      <c r="L46" s="101"/>
      <c r="M46" s="101" t="s">
        <v>99</v>
      </c>
      <c r="N46" s="112">
        <v>24781.08</v>
      </c>
      <c r="O46" s="101"/>
    </row>
    <row r="47" spans="1:16" x14ac:dyDescent="0.35">
      <c r="A47" s="105">
        <v>43739</v>
      </c>
      <c r="B47" s="101">
        <v>-52.41</v>
      </c>
      <c r="C47" s="101" t="s">
        <v>5</v>
      </c>
      <c r="D47" s="106"/>
      <c r="E47" s="101"/>
      <c r="F47" s="101">
        <f>+B47</f>
        <v>-52.41</v>
      </c>
      <c r="G47" s="101"/>
      <c r="H47" s="101"/>
      <c r="I47" s="101"/>
      <c r="J47" s="101"/>
      <c r="K47" s="101"/>
      <c r="L47" s="101"/>
      <c r="M47" s="101"/>
      <c r="N47" s="101">
        <f t="shared" ref="N47:N53" si="2">+N46+SUM(E47:L47)</f>
        <v>24728.670000000002</v>
      </c>
      <c r="O47" s="101"/>
    </row>
    <row r="48" spans="1:16" x14ac:dyDescent="0.35">
      <c r="A48" s="105">
        <v>43762</v>
      </c>
      <c r="B48" s="101">
        <v>-52.41</v>
      </c>
      <c r="C48" s="101" t="s">
        <v>5</v>
      </c>
      <c r="D48" s="106"/>
      <c r="E48" s="101"/>
      <c r="F48" s="101">
        <f>+B48</f>
        <v>-52.41</v>
      </c>
      <c r="G48" s="101"/>
      <c r="H48" s="101"/>
      <c r="I48" s="101"/>
      <c r="J48" s="101"/>
      <c r="K48" s="101"/>
      <c r="L48" s="101"/>
      <c r="M48" s="101"/>
      <c r="N48" s="101">
        <f t="shared" si="2"/>
        <v>24676.260000000002</v>
      </c>
      <c r="O48" s="101"/>
    </row>
    <row r="49" spans="1:15" x14ac:dyDescent="0.35">
      <c r="A49" s="105">
        <v>43777</v>
      </c>
      <c r="B49" s="101">
        <v>-1173.74</v>
      </c>
      <c r="C49" s="101" t="s">
        <v>83</v>
      </c>
      <c r="D49" s="106"/>
      <c r="E49" s="101"/>
      <c r="F49" s="101"/>
      <c r="G49" s="101">
        <f>+B49</f>
        <v>-1173.74</v>
      </c>
      <c r="H49" s="101"/>
      <c r="I49" s="101"/>
      <c r="J49" s="101"/>
      <c r="K49" s="101"/>
      <c r="L49" s="101"/>
      <c r="M49" s="101"/>
      <c r="N49" s="101">
        <f t="shared" si="2"/>
        <v>23502.52</v>
      </c>
      <c r="O49" s="101"/>
    </row>
    <row r="50" spans="1:15" x14ac:dyDescent="0.35">
      <c r="A50" s="105">
        <v>43791</v>
      </c>
      <c r="B50" s="101">
        <v>-58.5</v>
      </c>
      <c r="C50" s="101" t="s">
        <v>5</v>
      </c>
      <c r="D50" s="106"/>
      <c r="E50" s="101"/>
      <c r="F50" s="101">
        <f>+B50</f>
        <v>-58.5</v>
      </c>
      <c r="G50" s="101"/>
      <c r="H50" s="101"/>
      <c r="I50" s="101"/>
      <c r="J50" s="101"/>
      <c r="K50" s="101"/>
      <c r="L50" s="101"/>
      <c r="M50" s="101"/>
      <c r="N50" s="101">
        <f t="shared" si="2"/>
        <v>23444.02</v>
      </c>
      <c r="O50" s="101"/>
    </row>
    <row r="51" spans="1:15" x14ac:dyDescent="0.35">
      <c r="A51" s="105">
        <v>43812</v>
      </c>
      <c r="B51" s="101">
        <v>-194.89</v>
      </c>
      <c r="C51" s="101" t="s">
        <v>16</v>
      </c>
      <c r="D51" s="106"/>
      <c r="E51" s="101"/>
      <c r="F51" s="101"/>
      <c r="G51" s="101"/>
      <c r="H51" s="101">
        <f>+B51</f>
        <v>-194.89</v>
      </c>
      <c r="I51" s="101"/>
      <c r="J51" s="101"/>
      <c r="K51" s="101"/>
      <c r="L51" s="101"/>
      <c r="M51" s="101"/>
      <c r="N51" s="101">
        <f t="shared" si="2"/>
        <v>23249.13</v>
      </c>
      <c r="O51" s="101"/>
    </row>
    <row r="52" spans="1:15" x14ac:dyDescent="0.35">
      <c r="A52" s="105">
        <v>43814</v>
      </c>
      <c r="B52" s="101">
        <v>-30.53</v>
      </c>
      <c r="C52" s="101" t="s">
        <v>85</v>
      </c>
      <c r="D52" s="106"/>
      <c r="E52" s="101"/>
      <c r="F52" s="101"/>
      <c r="G52" s="101"/>
      <c r="H52" s="101"/>
      <c r="I52" s="101">
        <f>+B52</f>
        <v>-30.53</v>
      </c>
      <c r="J52" s="101"/>
      <c r="K52" s="101"/>
      <c r="L52" s="101"/>
      <c r="M52" s="101"/>
      <c r="N52" s="101">
        <f t="shared" si="2"/>
        <v>23218.600000000002</v>
      </c>
      <c r="O52" s="101"/>
    </row>
    <row r="53" spans="1:15" x14ac:dyDescent="0.35">
      <c r="A53" s="105">
        <v>43821</v>
      </c>
      <c r="B53" s="107">
        <v>-58.5</v>
      </c>
      <c r="C53" s="101" t="s">
        <v>5</v>
      </c>
      <c r="D53" s="106"/>
      <c r="E53" s="107"/>
      <c r="F53" s="107">
        <f>+B53</f>
        <v>-58.5</v>
      </c>
      <c r="G53" s="107"/>
      <c r="H53" s="107"/>
      <c r="I53" s="107"/>
      <c r="J53" s="107"/>
      <c r="K53" s="107"/>
      <c r="L53" s="107"/>
      <c r="M53" s="101" t="s">
        <v>102</v>
      </c>
      <c r="N53" s="112">
        <f t="shared" si="2"/>
        <v>23160.100000000002</v>
      </c>
      <c r="O53" s="101"/>
    </row>
    <row r="54" spans="1:15" x14ac:dyDescent="0.35">
      <c r="B54" s="101">
        <f>SUM(B6:B53)</f>
        <v>3377.0000000000018</v>
      </c>
      <c r="C54" s="101"/>
      <c r="D54" s="101"/>
      <c r="E54" s="101">
        <f t="shared" ref="E54:L54" si="3">SUM(E6:E53)</f>
        <v>11245</v>
      </c>
      <c r="F54" s="101">
        <f t="shared" si="3"/>
        <v>-641.0999999999998</v>
      </c>
      <c r="G54" s="101">
        <f t="shared" si="3"/>
        <v>-6448.4499999999989</v>
      </c>
      <c r="H54" s="101">
        <f t="shared" si="3"/>
        <v>-617.43999999999994</v>
      </c>
      <c r="I54" s="101">
        <f t="shared" si="3"/>
        <v>-111.80999999999999</v>
      </c>
      <c r="J54" s="101">
        <f t="shared" si="3"/>
        <v>0</v>
      </c>
      <c r="K54" s="101">
        <f t="shared" si="3"/>
        <v>0</v>
      </c>
      <c r="L54" s="101">
        <f t="shared" si="3"/>
        <v>-49.2</v>
      </c>
      <c r="M54" s="101">
        <f>SUM(E54:L54)</f>
        <v>3377.0000000000009</v>
      </c>
      <c r="N54" s="101"/>
      <c r="O54" s="101"/>
    </row>
    <row r="55" spans="1:15" x14ac:dyDescent="0.35">
      <c r="B55" s="101"/>
      <c r="C55" s="106" t="s">
        <v>90</v>
      </c>
      <c r="D55" s="106"/>
      <c r="E55" s="107">
        <v>375</v>
      </c>
      <c r="F55" s="107"/>
      <c r="G55" s="107"/>
      <c r="H55" s="101"/>
      <c r="I55" s="101"/>
      <c r="J55" s="101"/>
      <c r="K55" s="101"/>
      <c r="L55" s="101"/>
      <c r="M55" s="101">
        <f>+N2+M54</f>
        <v>23160.1</v>
      </c>
      <c r="N55" s="101"/>
      <c r="O55" s="101"/>
    </row>
    <row r="56" spans="1:15" x14ac:dyDescent="0.35">
      <c r="B56" s="101"/>
      <c r="D56" s="106" t="s">
        <v>89</v>
      </c>
      <c r="E56" s="149">
        <f>+E54/E55</f>
        <v>29.986666666666668</v>
      </c>
      <c r="H56" s="101"/>
      <c r="I56" s="101"/>
      <c r="J56" s="101"/>
      <c r="K56" s="101"/>
      <c r="L56" s="101"/>
      <c r="M56" s="101">
        <f>+N53-M55</f>
        <v>0</v>
      </c>
      <c r="N56" s="101"/>
      <c r="O56" s="101"/>
    </row>
    <row r="57" spans="1:15" x14ac:dyDescent="0.35">
      <c r="D57" s="106" t="s">
        <v>117</v>
      </c>
      <c r="E57" s="151">
        <v>32</v>
      </c>
      <c r="N57" s="101"/>
      <c r="O57" s="101"/>
    </row>
    <row r="58" spans="1:15" x14ac:dyDescent="0.35">
      <c r="D58" s="106" t="s">
        <v>118</v>
      </c>
      <c r="E58" s="150">
        <f>+E56-E57</f>
        <v>-2.0133333333333319</v>
      </c>
    </row>
    <row r="60" spans="1:15" ht="15.5" x14ac:dyDescent="0.35">
      <c r="A60" s="1"/>
    </row>
  </sheetData>
  <sortState xmlns:xlrd2="http://schemas.microsoft.com/office/spreadsheetml/2017/richdata2" ref="A13:N17">
    <sortCondition ref="A13:A17"/>
  </sortState>
  <pageMargins left="0.7" right="0.7" top="0.75" bottom="0.75" header="0.3" footer="0.3"/>
  <pageSetup scale="61" orientation="landscape" horizontalDpi="4294967293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CC9900"/>
    <pageSetUpPr fitToPage="1"/>
  </sheetPr>
  <dimension ref="A1:O37"/>
  <sheetViews>
    <sheetView zoomScale="89" zoomScaleNormal="89" workbookViewId="0">
      <pane xSplit="2" ySplit="1" topLeftCell="C5" activePane="bottomRight" state="frozen"/>
      <selection pane="topRight" activeCell="C1" sqref="C1"/>
      <selection pane="bottomLeft" activeCell="A2" sqref="A2"/>
      <selection pane="bottomRight" activeCell="B25" sqref="B25"/>
    </sheetView>
  </sheetViews>
  <sheetFormatPr defaultColWidth="8.6328125" defaultRowHeight="15.5" x14ac:dyDescent="0.35"/>
  <cols>
    <col min="1" max="1" width="14.6328125" style="1" customWidth="1"/>
    <col min="2" max="2" width="30.6328125" style="1" customWidth="1"/>
    <col min="3" max="3" width="12.54296875" style="1" customWidth="1"/>
    <col min="4" max="6" width="11.6328125" style="9" customWidth="1"/>
    <col min="7" max="15" width="11.6328125" style="1" customWidth="1"/>
    <col min="16" max="16384" width="8.6328125" style="1"/>
  </cols>
  <sheetData>
    <row r="1" spans="1:15" ht="31.5" customHeight="1" x14ac:dyDescent="0.35">
      <c r="A1" s="522" t="s">
        <v>184</v>
      </c>
      <c r="B1" s="523"/>
      <c r="C1" s="35" t="s">
        <v>67</v>
      </c>
      <c r="D1" s="17" t="s">
        <v>31</v>
      </c>
      <c r="E1" s="204" t="s">
        <v>32</v>
      </c>
      <c r="F1" s="204" t="s">
        <v>33</v>
      </c>
      <c r="G1" s="15" t="s">
        <v>34</v>
      </c>
      <c r="H1" s="15" t="s">
        <v>35</v>
      </c>
      <c r="I1" s="15" t="s">
        <v>36</v>
      </c>
      <c r="J1" s="15" t="s">
        <v>37</v>
      </c>
      <c r="K1" s="15" t="s">
        <v>38</v>
      </c>
      <c r="L1" s="15" t="s">
        <v>39</v>
      </c>
      <c r="M1" s="15" t="s">
        <v>40</v>
      </c>
      <c r="N1" s="15" t="s">
        <v>51</v>
      </c>
      <c r="O1" s="15" t="s">
        <v>52</v>
      </c>
    </row>
    <row r="2" spans="1:15" x14ac:dyDescent="0.35">
      <c r="A2" s="37" t="s">
        <v>193</v>
      </c>
      <c r="B2" s="38"/>
      <c r="C2" s="39">
        <f>+'2017 Ck Reg'!N2</f>
        <v>19783.099999999999</v>
      </c>
      <c r="D2" s="40">
        <f>+C2</f>
        <v>19783.099999999999</v>
      </c>
      <c r="E2" s="41">
        <f>+D27</f>
        <v>19154.769999999997</v>
      </c>
      <c r="F2" s="41">
        <f t="shared" ref="F2:O2" si="0">+E27</f>
        <v>18783.179999999997</v>
      </c>
      <c r="G2" s="41">
        <f t="shared" si="0"/>
        <v>22614.929999999997</v>
      </c>
      <c r="H2" s="41">
        <f t="shared" si="0"/>
        <v>27101.879999999997</v>
      </c>
      <c r="I2" s="41">
        <f t="shared" si="0"/>
        <v>27220.92</v>
      </c>
      <c r="J2" s="41">
        <f t="shared" si="0"/>
        <v>26831.109999999997</v>
      </c>
      <c r="K2" s="41">
        <f t="shared" si="0"/>
        <v>26181.67</v>
      </c>
      <c r="L2" s="41">
        <f t="shared" si="0"/>
        <v>25367.949999999997</v>
      </c>
      <c r="M2" s="41">
        <f t="shared" si="0"/>
        <v>24728.67</v>
      </c>
      <c r="N2" s="41">
        <f t="shared" si="0"/>
        <v>24676.26</v>
      </c>
      <c r="O2" s="41">
        <f t="shared" si="0"/>
        <v>23444.019999999997</v>
      </c>
    </row>
    <row r="3" spans="1:15" x14ac:dyDescent="0.35">
      <c r="A3" s="3"/>
      <c r="B3" s="6"/>
      <c r="C3" s="32"/>
      <c r="D3" s="26"/>
      <c r="E3" s="26"/>
      <c r="F3" s="26"/>
      <c r="G3" s="26"/>
      <c r="H3" s="27"/>
      <c r="I3" s="27"/>
      <c r="J3" s="27"/>
      <c r="K3" s="27"/>
      <c r="L3" s="27"/>
      <c r="M3" s="27"/>
      <c r="N3" s="27"/>
      <c r="O3" s="27"/>
    </row>
    <row r="4" spans="1:15" x14ac:dyDescent="0.35">
      <c r="A4" s="24" t="s">
        <v>44</v>
      </c>
      <c r="B4" s="6"/>
      <c r="C4" s="32"/>
      <c r="D4" s="26"/>
      <c r="E4" s="26"/>
      <c r="F4" s="26"/>
      <c r="G4" s="26"/>
      <c r="H4" s="27"/>
      <c r="I4" s="27"/>
      <c r="J4" s="27"/>
      <c r="K4" s="27"/>
      <c r="L4" s="27"/>
      <c r="M4" s="27"/>
      <c r="N4" s="27"/>
      <c r="O4" s="27"/>
    </row>
    <row r="5" spans="1:15" x14ac:dyDescent="0.35">
      <c r="A5" s="1" t="s">
        <v>78</v>
      </c>
      <c r="C5" s="32">
        <f>SUM(D5:O5)</f>
        <v>11245</v>
      </c>
      <c r="D5" s="50"/>
      <c r="E5" s="50">
        <v>370</v>
      </c>
      <c r="F5" s="50">
        <v>4500</v>
      </c>
      <c r="G5" s="50">
        <f>3375+1125+750</f>
        <v>5250</v>
      </c>
      <c r="H5" s="27">
        <v>750</v>
      </c>
      <c r="I5" s="27">
        <v>375</v>
      </c>
      <c r="J5" s="27"/>
      <c r="K5" s="27"/>
      <c r="L5" s="27"/>
      <c r="M5" s="27"/>
      <c r="N5" s="27"/>
      <c r="O5" s="27"/>
    </row>
    <row r="6" spans="1:15" x14ac:dyDescent="0.35">
      <c r="A6" s="1" t="s">
        <v>73</v>
      </c>
      <c r="C6" s="33">
        <f>SUM(D6:O6)</f>
        <v>0</v>
      </c>
      <c r="D6" s="52"/>
      <c r="E6" s="52"/>
      <c r="F6" s="52"/>
      <c r="G6" s="52"/>
      <c r="H6" s="53"/>
      <c r="I6" s="53"/>
      <c r="J6" s="53"/>
      <c r="K6" s="53"/>
      <c r="L6" s="53"/>
      <c r="M6" s="53"/>
      <c r="N6" s="53"/>
      <c r="O6" s="53"/>
    </row>
    <row r="7" spans="1:15" x14ac:dyDescent="0.35">
      <c r="A7" s="95" t="s">
        <v>49</v>
      </c>
      <c r="C7" s="54">
        <f>SUM(C5:C6)</f>
        <v>11245</v>
      </c>
      <c r="D7" s="51">
        <f>SUM(D5:D6)</f>
        <v>0</v>
      </c>
      <c r="E7" s="51">
        <f>SUM(E5:E6)</f>
        <v>370</v>
      </c>
      <c r="F7" s="51">
        <f t="shared" ref="F7:O7" si="1">SUM(F5:F6)</f>
        <v>4500</v>
      </c>
      <c r="G7" s="51">
        <f t="shared" si="1"/>
        <v>5250</v>
      </c>
      <c r="H7" s="51">
        <f t="shared" si="1"/>
        <v>750</v>
      </c>
      <c r="I7" s="51">
        <f t="shared" si="1"/>
        <v>375</v>
      </c>
      <c r="J7" s="51">
        <f t="shared" si="1"/>
        <v>0</v>
      </c>
      <c r="K7" s="51">
        <f t="shared" si="1"/>
        <v>0</v>
      </c>
      <c r="L7" s="51">
        <f t="shared" si="1"/>
        <v>0</v>
      </c>
      <c r="M7" s="51">
        <f t="shared" si="1"/>
        <v>0</v>
      </c>
      <c r="N7" s="51">
        <f t="shared" si="1"/>
        <v>0</v>
      </c>
      <c r="O7" s="51">
        <f t="shared" si="1"/>
        <v>0</v>
      </c>
    </row>
    <row r="8" spans="1:15" x14ac:dyDescent="0.35">
      <c r="C8" s="32"/>
      <c r="D8" s="50"/>
      <c r="E8" s="50"/>
      <c r="F8" s="50"/>
      <c r="G8" s="27"/>
      <c r="H8" s="27"/>
      <c r="I8" s="27"/>
      <c r="J8" s="27"/>
      <c r="K8" s="27"/>
      <c r="L8" s="27"/>
      <c r="M8" s="27"/>
      <c r="N8" s="27"/>
      <c r="O8" s="27"/>
    </row>
    <row r="9" spans="1:15" x14ac:dyDescent="0.35">
      <c r="A9" s="24" t="s">
        <v>3</v>
      </c>
      <c r="C9" s="32"/>
      <c r="D9" s="26"/>
      <c r="E9" s="26"/>
      <c r="F9" s="26"/>
      <c r="G9" s="27"/>
      <c r="H9" s="27"/>
      <c r="I9" s="27"/>
      <c r="J9" s="27"/>
      <c r="K9" s="27"/>
      <c r="L9" s="27"/>
      <c r="M9" s="27"/>
      <c r="N9" s="27"/>
      <c r="O9" s="27"/>
    </row>
    <row r="10" spans="1:15" x14ac:dyDescent="0.35">
      <c r="A10" s="1" t="s">
        <v>48</v>
      </c>
      <c r="B10" s="1" t="s">
        <v>5</v>
      </c>
      <c r="C10" s="32">
        <f>SUM(D10:O10)</f>
        <v>641.0999999999998</v>
      </c>
      <c r="D10" s="26">
        <v>52.41</v>
      </c>
      <c r="E10" s="26">
        <v>52.41</v>
      </c>
      <c r="F10" s="26">
        <v>52.41</v>
      </c>
      <c r="G10" s="26">
        <v>52.41</v>
      </c>
      <c r="H10" s="26">
        <v>52.41</v>
      </c>
      <c r="I10" s="26">
        <v>52.41</v>
      </c>
      <c r="J10" s="26">
        <v>52.41</v>
      </c>
      <c r="K10" s="26">
        <v>52.41</v>
      </c>
      <c r="L10" s="26">
        <v>52.41</v>
      </c>
      <c r="M10" s="26">
        <v>52.41</v>
      </c>
      <c r="N10" s="26">
        <v>58.5</v>
      </c>
      <c r="O10" s="26">
        <v>58.5</v>
      </c>
    </row>
    <row r="11" spans="1:15" x14ac:dyDescent="0.35">
      <c r="C11" s="32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</row>
    <row r="12" spans="1:15" x14ac:dyDescent="0.35">
      <c r="A12" s="1" t="s">
        <v>272</v>
      </c>
      <c r="B12" s="1" t="s">
        <v>273</v>
      </c>
      <c r="C12" s="32">
        <f>SUM(D12:O12)</f>
        <v>6448.4499999999989</v>
      </c>
      <c r="D12" s="103">
        <v>575.91999999999996</v>
      </c>
      <c r="E12" s="103">
        <v>575.91999999999996</v>
      </c>
      <c r="F12" s="103">
        <v>575.91999999999996</v>
      </c>
      <c r="G12" s="103">
        <v>575.91999999999996</v>
      </c>
      <c r="H12" s="103">
        <v>578.54999999999995</v>
      </c>
      <c r="I12" s="103">
        <v>586.87</v>
      </c>
      <c r="J12" s="103">
        <v>586.87</v>
      </c>
      <c r="K12" s="103">
        <f>586.87+45</f>
        <v>631.87</v>
      </c>
      <c r="L12" s="103">
        <v>586.87</v>
      </c>
      <c r="M12" s="103"/>
      <c r="N12" s="103">
        <v>1173.74</v>
      </c>
      <c r="O12" s="103"/>
    </row>
    <row r="13" spans="1:15" x14ac:dyDescent="0.35">
      <c r="B13" s="1" t="s">
        <v>277</v>
      </c>
      <c r="C13" s="32">
        <f>SUM(D13:O13)</f>
        <v>0</v>
      </c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</row>
    <row r="14" spans="1:15" x14ac:dyDescent="0.35">
      <c r="B14" s="1" t="s">
        <v>278</v>
      </c>
      <c r="C14" s="32">
        <f>SUM(D14:O14)</f>
        <v>0</v>
      </c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</row>
    <row r="15" spans="1:15" x14ac:dyDescent="0.35">
      <c r="C15" s="32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</row>
    <row r="16" spans="1:15" x14ac:dyDescent="0.35">
      <c r="A16" s="1" t="s">
        <v>46</v>
      </c>
      <c r="B16" s="1" t="s">
        <v>253</v>
      </c>
      <c r="C16" s="32">
        <f>SUM(D16:O16)</f>
        <v>0</v>
      </c>
      <c r="D16" s="26"/>
      <c r="E16" s="26"/>
      <c r="F16" s="26"/>
      <c r="G16" s="28"/>
      <c r="H16" s="26"/>
      <c r="I16" s="26"/>
      <c r="J16" s="26"/>
      <c r="K16" s="26"/>
      <c r="L16" s="26"/>
      <c r="M16" s="26"/>
      <c r="N16" s="26"/>
      <c r="O16" s="26"/>
    </row>
    <row r="17" spans="1:15" x14ac:dyDescent="0.35">
      <c r="C17" s="32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</row>
    <row r="18" spans="1:15" x14ac:dyDescent="0.35">
      <c r="A18" s="1" t="s">
        <v>45</v>
      </c>
      <c r="B18" s="1" t="s">
        <v>16</v>
      </c>
      <c r="C18" s="32">
        <f>SUM(D18:O18)</f>
        <v>617.43999999999994</v>
      </c>
      <c r="D18" s="26"/>
      <c r="E18" s="26">
        <v>103.1</v>
      </c>
      <c r="F18" s="26"/>
      <c r="G18" s="26">
        <v>104.96</v>
      </c>
      <c r="H18" s="26"/>
      <c r="I18" s="26">
        <v>105.21</v>
      </c>
      <c r="J18" s="26"/>
      <c r="K18" s="26">
        <v>109.28</v>
      </c>
      <c r="L18" s="26"/>
      <c r="M18" s="26"/>
      <c r="N18" s="26"/>
      <c r="O18" s="26">
        <v>194.89</v>
      </c>
    </row>
    <row r="19" spans="1:15" x14ac:dyDescent="0.35">
      <c r="B19" s="1" t="s">
        <v>17</v>
      </c>
      <c r="C19" s="32">
        <f>SUM(D19:O19)</f>
        <v>111.81</v>
      </c>
      <c r="D19" s="26"/>
      <c r="E19" s="26">
        <v>10.16</v>
      </c>
      <c r="F19" s="26">
        <v>20.32</v>
      </c>
      <c r="G19" s="26">
        <v>10.16</v>
      </c>
      <c r="H19" s="26"/>
      <c r="I19" s="26">
        <v>20.32</v>
      </c>
      <c r="J19" s="26">
        <v>10.16</v>
      </c>
      <c r="K19" s="26">
        <v>10.16</v>
      </c>
      <c r="L19" s="26"/>
      <c r="M19" s="26"/>
      <c r="N19" s="26"/>
      <c r="O19" s="26">
        <v>30.53</v>
      </c>
    </row>
    <row r="20" spans="1:15" x14ac:dyDescent="0.35">
      <c r="C20" s="32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</row>
    <row r="21" spans="1:15" x14ac:dyDescent="0.35">
      <c r="A21" s="1" t="s">
        <v>56</v>
      </c>
      <c r="B21" s="1" t="s">
        <v>66</v>
      </c>
      <c r="C21" s="32">
        <f>SUM(D21:O21)</f>
        <v>0</v>
      </c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</row>
    <row r="22" spans="1:15" x14ac:dyDescent="0.35">
      <c r="B22" s="1" t="s">
        <v>264</v>
      </c>
      <c r="C22" s="32">
        <f>SUM(D22:O22)</f>
        <v>39.200000000000003</v>
      </c>
      <c r="D22" s="26"/>
      <c r="E22" s="26"/>
      <c r="F22" s="26">
        <v>19.600000000000001</v>
      </c>
      <c r="G22" s="26">
        <v>19.600000000000001</v>
      </c>
      <c r="H22" s="26"/>
      <c r="I22" s="26"/>
      <c r="J22" s="26"/>
      <c r="K22" s="26"/>
      <c r="L22" s="26"/>
      <c r="M22" s="26">
        <v>0</v>
      </c>
      <c r="N22" s="26"/>
      <c r="O22" s="26"/>
    </row>
    <row r="23" spans="1:15" x14ac:dyDescent="0.35">
      <c r="B23" s="1" t="s">
        <v>22</v>
      </c>
      <c r="C23" s="32">
        <f>SUM(D23:O23)</f>
        <v>10</v>
      </c>
      <c r="D23" s="26"/>
      <c r="E23" s="26"/>
      <c r="F23" s="26"/>
      <c r="G23" s="26"/>
      <c r="H23" s="26"/>
      <c r="I23" s="26"/>
      <c r="J23" s="26"/>
      <c r="K23" s="26">
        <v>10</v>
      </c>
      <c r="L23" s="26"/>
      <c r="M23" s="26"/>
      <c r="N23" s="26"/>
      <c r="O23" s="26"/>
    </row>
    <row r="24" spans="1:15" x14ac:dyDescent="0.35">
      <c r="B24" s="1" t="s">
        <v>383</v>
      </c>
      <c r="C24" s="33">
        <f>SUM(D24:O24)</f>
        <v>0</v>
      </c>
      <c r="D24" s="29">
        <v>0</v>
      </c>
      <c r="E24" s="29">
        <v>0</v>
      </c>
      <c r="F24" s="29">
        <v>0</v>
      </c>
      <c r="G24" s="29">
        <v>0</v>
      </c>
      <c r="H24" s="29">
        <v>0</v>
      </c>
      <c r="I24" s="29">
        <v>0</v>
      </c>
      <c r="J24" s="29">
        <v>0</v>
      </c>
      <c r="K24" s="29">
        <v>0</v>
      </c>
      <c r="L24" s="29">
        <v>0</v>
      </c>
      <c r="M24" s="29">
        <v>0</v>
      </c>
      <c r="N24" s="29">
        <v>0</v>
      </c>
      <c r="O24" s="29">
        <v>0</v>
      </c>
    </row>
    <row r="25" spans="1:15" x14ac:dyDescent="0.35">
      <c r="A25" s="25" t="s">
        <v>24</v>
      </c>
      <c r="C25" s="34">
        <f t="shared" ref="C25:O25" si="2">SUM(C10:C24)</f>
        <v>7867.9999999999982</v>
      </c>
      <c r="D25" s="30">
        <f t="shared" si="2"/>
        <v>628.32999999999993</v>
      </c>
      <c r="E25" s="30">
        <f t="shared" si="2"/>
        <v>741.58999999999992</v>
      </c>
      <c r="F25" s="30">
        <f t="shared" si="2"/>
        <v>668.25</v>
      </c>
      <c r="G25" s="30">
        <f t="shared" si="2"/>
        <v>763.05</v>
      </c>
      <c r="H25" s="30">
        <f t="shared" si="2"/>
        <v>630.95999999999992</v>
      </c>
      <c r="I25" s="30">
        <f t="shared" si="2"/>
        <v>764.81000000000006</v>
      </c>
      <c r="J25" s="30">
        <f t="shared" si="2"/>
        <v>649.43999999999994</v>
      </c>
      <c r="K25" s="30">
        <f t="shared" si="2"/>
        <v>813.71999999999991</v>
      </c>
      <c r="L25" s="30">
        <f t="shared" si="2"/>
        <v>639.28</v>
      </c>
      <c r="M25" s="30">
        <f t="shared" si="2"/>
        <v>52.41</v>
      </c>
      <c r="N25" s="30">
        <f t="shared" si="2"/>
        <v>1232.24</v>
      </c>
      <c r="O25" s="30">
        <f t="shared" si="2"/>
        <v>283.91999999999996</v>
      </c>
    </row>
    <row r="26" spans="1:15" x14ac:dyDescent="0.35">
      <c r="C26" s="32"/>
      <c r="D26" s="10"/>
      <c r="E26" s="10"/>
      <c r="F26" s="10"/>
    </row>
    <row r="27" spans="1:15" ht="16" thickBot="1" x14ac:dyDescent="0.4">
      <c r="A27" s="37" t="s">
        <v>50</v>
      </c>
      <c r="B27" s="42"/>
      <c r="C27" s="55">
        <f t="shared" ref="C27:O27" si="3">+C2+C7-C25</f>
        <v>23160.1</v>
      </c>
      <c r="D27" s="36">
        <f t="shared" si="3"/>
        <v>19154.769999999997</v>
      </c>
      <c r="E27" s="36">
        <f t="shared" si="3"/>
        <v>18783.179999999997</v>
      </c>
      <c r="F27" s="36">
        <f t="shared" si="3"/>
        <v>22614.929999999997</v>
      </c>
      <c r="G27" s="36">
        <f t="shared" si="3"/>
        <v>27101.879999999997</v>
      </c>
      <c r="H27" s="36">
        <f t="shared" si="3"/>
        <v>27220.92</v>
      </c>
      <c r="I27" s="36">
        <f t="shared" si="3"/>
        <v>26831.109999999997</v>
      </c>
      <c r="J27" s="36">
        <f t="shared" si="3"/>
        <v>26181.67</v>
      </c>
      <c r="K27" s="36">
        <f t="shared" si="3"/>
        <v>25367.949999999997</v>
      </c>
      <c r="L27" s="36">
        <f t="shared" si="3"/>
        <v>24728.67</v>
      </c>
      <c r="M27" s="36">
        <f t="shared" si="3"/>
        <v>24676.26</v>
      </c>
      <c r="N27" s="36">
        <f t="shared" si="3"/>
        <v>23444.019999999997</v>
      </c>
      <c r="O27" s="36">
        <f t="shared" si="3"/>
        <v>23160.1</v>
      </c>
    </row>
    <row r="28" spans="1:15" x14ac:dyDescent="0.35">
      <c r="A28" s="3"/>
      <c r="B28" s="1" t="s">
        <v>75</v>
      </c>
      <c r="C28" s="102">
        <f>+C27-C29</f>
        <v>0</v>
      </c>
    </row>
    <row r="29" spans="1:15" x14ac:dyDescent="0.35">
      <c r="A29"/>
      <c r="B29" s="1" t="s">
        <v>74</v>
      </c>
      <c r="C29" s="23">
        <f>+'2017 Ck Reg'!N53</f>
        <v>23160.100000000002</v>
      </c>
    </row>
    <row r="30" spans="1:15" x14ac:dyDescent="0.35">
      <c r="A30" s="59"/>
    </row>
    <row r="31" spans="1:15" x14ac:dyDescent="0.35">
      <c r="A31" s="1" t="s">
        <v>274</v>
      </c>
      <c r="B31" s="2"/>
      <c r="C31" s="281">
        <f>+C12</f>
        <v>6448.4499999999989</v>
      </c>
      <c r="D31" s="283">
        <f t="shared" ref="D31:D37" si="4">+C31/32</f>
        <v>201.51406249999997</v>
      </c>
    </row>
    <row r="32" spans="1:15" x14ac:dyDescent="0.35">
      <c r="A32" s="1" t="s">
        <v>275</v>
      </c>
      <c r="B32" s="2"/>
      <c r="C32" s="281">
        <f>+C13</f>
        <v>0</v>
      </c>
      <c r="D32" s="283">
        <f t="shared" si="4"/>
        <v>0</v>
      </c>
    </row>
    <row r="33" spans="1:4" x14ac:dyDescent="0.35">
      <c r="A33" s="1" t="s">
        <v>286</v>
      </c>
      <c r="B33" s="2"/>
      <c r="C33" s="281">
        <f>+C14</f>
        <v>0</v>
      </c>
      <c r="D33" s="283">
        <f t="shared" si="4"/>
        <v>0</v>
      </c>
    </row>
    <row r="34" spans="1:4" x14ac:dyDescent="0.35">
      <c r="A34" s="1" t="s">
        <v>4</v>
      </c>
      <c r="B34" s="2"/>
      <c r="C34" s="281">
        <f>+C10</f>
        <v>641.0999999999998</v>
      </c>
      <c r="D34" s="283">
        <f t="shared" si="4"/>
        <v>20.034374999999994</v>
      </c>
    </row>
    <row r="35" spans="1:4" x14ac:dyDescent="0.35">
      <c r="A35" s="1" t="s">
        <v>15</v>
      </c>
      <c r="B35" s="2"/>
      <c r="C35" s="281">
        <f>+C18+C19</f>
        <v>729.25</v>
      </c>
      <c r="D35" s="283">
        <f t="shared" si="4"/>
        <v>22.7890625</v>
      </c>
    </row>
    <row r="36" spans="1:4" x14ac:dyDescent="0.35">
      <c r="A36" s="1" t="s">
        <v>222</v>
      </c>
      <c r="B36" s="2"/>
      <c r="C36" s="282">
        <f>+C16+C21+C22+C23+C24</f>
        <v>49.2</v>
      </c>
      <c r="D36" s="284">
        <f t="shared" si="4"/>
        <v>1.5375000000000001</v>
      </c>
    </row>
    <row r="37" spans="1:4" x14ac:dyDescent="0.35">
      <c r="B37" s="2"/>
      <c r="C37" s="281">
        <f>SUM(C31:C36)</f>
        <v>7867.9999999999982</v>
      </c>
      <c r="D37" s="283">
        <f t="shared" si="4"/>
        <v>245.87499999999994</v>
      </c>
    </row>
  </sheetData>
  <mergeCells count="1">
    <mergeCell ref="A1:B1"/>
  </mergeCells>
  <conditionalFormatting sqref="C28:C29">
    <cfRule type="cellIs" dxfId="5" priority="1" operator="lessThan">
      <formula>0</formula>
    </cfRule>
  </conditionalFormatting>
  <pageMargins left="0.7" right="0.7" top="0.75" bottom="0.75" header="0.3" footer="0.3"/>
  <pageSetup scale="62" orientation="landscape" horizontalDpi="4294967293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0000"/>
    <pageSetUpPr fitToPage="1"/>
  </sheetPr>
  <dimension ref="A1:N60"/>
  <sheetViews>
    <sheetView zoomScaleNormal="100" workbookViewId="0">
      <pane xSplit="1" ySplit="5" topLeftCell="B48" activePane="bottomRight" state="frozen"/>
      <selection pane="topRight" activeCell="B1" sqref="B1"/>
      <selection pane="bottomLeft" activeCell="A6" sqref="A6"/>
      <selection pane="bottomRight" activeCell="N39" sqref="N39"/>
    </sheetView>
  </sheetViews>
  <sheetFormatPr defaultRowHeight="14.5" x14ac:dyDescent="0.35"/>
  <cols>
    <col min="1" max="1" width="8.6328125" customWidth="1"/>
    <col min="2" max="2" width="11.6328125" customWidth="1"/>
    <col min="3" max="3" width="19.6328125" customWidth="1"/>
    <col min="4" max="4" width="10.54296875" customWidth="1"/>
    <col min="5" max="5" width="8.90625" customWidth="1"/>
    <col min="6" max="6" width="9.90625" bestFit="1" customWidth="1"/>
    <col min="7" max="7" width="11" customWidth="1"/>
    <col min="12" max="12" width="18.08984375" customWidth="1"/>
    <col min="13" max="13" width="10.08984375" bestFit="1" customWidth="1"/>
  </cols>
  <sheetData>
    <row r="1" spans="1:14" ht="18.5" x14ac:dyDescent="0.45">
      <c r="A1" s="110">
        <v>2018</v>
      </c>
      <c r="B1" s="110" t="s">
        <v>92</v>
      </c>
      <c r="L1" s="115" t="s">
        <v>111</v>
      </c>
      <c r="M1" s="101">
        <f>+'2017 Ck Reg'!N53</f>
        <v>23160.100000000002</v>
      </c>
      <c r="N1" s="101">
        <f>+M2-M1</f>
        <v>0</v>
      </c>
    </row>
    <row r="2" spans="1:14" x14ac:dyDescent="0.35">
      <c r="A2" t="s">
        <v>1</v>
      </c>
      <c r="M2" s="112">
        <v>23160.1</v>
      </c>
    </row>
    <row r="3" spans="1:14" x14ac:dyDescent="0.35">
      <c r="M3" s="101"/>
    </row>
    <row r="4" spans="1:14" x14ac:dyDescent="0.35">
      <c r="A4" s="109" t="s">
        <v>194</v>
      </c>
      <c r="M4" s="101"/>
    </row>
    <row r="5" spans="1:14" x14ac:dyDescent="0.35">
      <c r="A5" s="108" t="s">
        <v>76</v>
      </c>
      <c r="B5" s="109" t="s">
        <v>77</v>
      </c>
      <c r="C5" s="109" t="s">
        <v>106</v>
      </c>
      <c r="D5" s="108" t="s">
        <v>78</v>
      </c>
      <c r="E5" s="108" t="s">
        <v>94</v>
      </c>
      <c r="F5" s="108" t="s">
        <v>95</v>
      </c>
      <c r="G5" s="108" t="s">
        <v>79</v>
      </c>
      <c r="H5" s="108" t="s">
        <v>96</v>
      </c>
      <c r="I5" s="108" t="s">
        <v>80</v>
      </c>
      <c r="J5" s="108" t="s">
        <v>81</v>
      </c>
      <c r="K5" s="108" t="s">
        <v>82</v>
      </c>
      <c r="L5" s="108" t="s">
        <v>97</v>
      </c>
      <c r="M5" s="111" t="s">
        <v>93</v>
      </c>
    </row>
    <row r="6" spans="1:14" x14ac:dyDescent="0.35">
      <c r="A6" s="105">
        <v>43493</v>
      </c>
      <c r="B6" s="101">
        <v>-58.5</v>
      </c>
      <c r="C6" s="101" t="s">
        <v>5</v>
      </c>
      <c r="D6" s="101"/>
      <c r="E6" s="101">
        <f>+B6</f>
        <v>-58.5</v>
      </c>
      <c r="F6" s="101"/>
      <c r="G6" s="101"/>
      <c r="H6" s="101"/>
      <c r="I6" s="101"/>
      <c r="J6" s="101"/>
      <c r="K6" s="101"/>
      <c r="L6" s="101"/>
      <c r="M6" s="112">
        <f>+M2+SUM(D6:K6)</f>
        <v>23101.599999999999</v>
      </c>
    </row>
    <row r="7" spans="1:14" x14ac:dyDescent="0.35">
      <c r="A7" s="105">
        <v>43498</v>
      </c>
      <c r="B7" s="101">
        <v>-1173.74</v>
      </c>
      <c r="C7" s="101" t="s">
        <v>83</v>
      </c>
      <c r="D7" s="101"/>
      <c r="E7" s="101"/>
      <c r="F7" s="101">
        <f>+B7</f>
        <v>-1173.74</v>
      </c>
      <c r="G7" s="101"/>
      <c r="H7" s="101"/>
      <c r="I7" s="101"/>
      <c r="J7" s="101"/>
      <c r="K7" s="101"/>
      <c r="L7" s="101"/>
      <c r="M7" s="101">
        <f>+M6+SUM(D7:K7)</f>
        <v>21927.859999999997</v>
      </c>
    </row>
    <row r="8" spans="1:14" x14ac:dyDescent="0.35">
      <c r="A8" s="105">
        <v>43510</v>
      </c>
      <c r="B8" s="101">
        <v>-16.3</v>
      </c>
      <c r="C8" s="101" t="s">
        <v>84</v>
      </c>
      <c r="D8" s="101"/>
      <c r="E8" s="101"/>
      <c r="F8" s="101"/>
      <c r="G8" s="101"/>
      <c r="H8" s="101"/>
      <c r="I8" s="101"/>
      <c r="J8" s="101">
        <f>+B8</f>
        <v>-16.3</v>
      </c>
      <c r="K8" s="101"/>
      <c r="L8" s="101"/>
      <c r="M8" s="101">
        <f t="shared" ref="M8:M55" si="0">+M7+SUM(D8:K8)</f>
        <v>21911.559999999998</v>
      </c>
    </row>
    <row r="9" spans="1:14" x14ac:dyDescent="0.35">
      <c r="A9" s="105">
        <v>43518</v>
      </c>
      <c r="B9" s="101">
        <v>-58.5</v>
      </c>
      <c r="C9" s="101" t="s">
        <v>5</v>
      </c>
      <c r="D9" s="101"/>
      <c r="E9" s="101">
        <f>+B9</f>
        <v>-58.5</v>
      </c>
      <c r="F9" s="101"/>
      <c r="G9" s="101"/>
      <c r="H9" s="101"/>
      <c r="I9" s="101"/>
      <c r="J9" s="101"/>
      <c r="K9" s="101"/>
      <c r="L9" s="101"/>
      <c r="M9" s="112">
        <f t="shared" si="0"/>
        <v>21853.059999999998</v>
      </c>
    </row>
    <row r="10" spans="1:14" x14ac:dyDescent="0.35">
      <c r="A10" s="105">
        <v>43532</v>
      </c>
      <c r="B10" s="101">
        <v>-150</v>
      </c>
      <c r="C10" s="101" t="s">
        <v>16</v>
      </c>
      <c r="D10" s="101"/>
      <c r="E10" s="101"/>
      <c r="F10" s="101"/>
      <c r="G10" s="101">
        <f>B10</f>
        <v>-150</v>
      </c>
      <c r="H10" s="101"/>
      <c r="I10" s="101"/>
      <c r="J10" s="101"/>
      <c r="K10" s="101"/>
      <c r="L10" s="101"/>
      <c r="M10" s="101">
        <f t="shared" si="0"/>
        <v>21703.059999999998</v>
      </c>
    </row>
    <row r="11" spans="1:14" x14ac:dyDescent="0.35">
      <c r="A11" s="105">
        <v>43539</v>
      </c>
      <c r="B11" s="101">
        <v>-45</v>
      </c>
      <c r="C11" s="101" t="s">
        <v>85</v>
      </c>
      <c r="D11" s="101"/>
      <c r="E11" s="101"/>
      <c r="F11" s="101"/>
      <c r="G11" s="101"/>
      <c r="H11" s="101">
        <f>+B11</f>
        <v>-45</v>
      </c>
      <c r="I11" s="101"/>
      <c r="J11" s="101"/>
      <c r="K11" s="101"/>
      <c r="L11" s="101"/>
      <c r="M11" s="101">
        <f t="shared" si="0"/>
        <v>21658.059999999998</v>
      </c>
    </row>
    <row r="12" spans="1:14" x14ac:dyDescent="0.35">
      <c r="A12" s="105">
        <v>43543</v>
      </c>
      <c r="B12" s="101">
        <v>-1173.74</v>
      </c>
      <c r="C12" s="101" t="s">
        <v>83</v>
      </c>
      <c r="D12" s="101"/>
      <c r="E12" s="101"/>
      <c r="F12" s="101">
        <f>+B12</f>
        <v>-1173.74</v>
      </c>
      <c r="G12" s="101"/>
      <c r="H12" s="101"/>
      <c r="I12" s="101"/>
      <c r="J12" s="101"/>
      <c r="K12" s="101"/>
      <c r="L12" s="101"/>
      <c r="M12" s="101">
        <f t="shared" si="0"/>
        <v>20484.319999999996</v>
      </c>
    </row>
    <row r="13" spans="1:14" x14ac:dyDescent="0.35">
      <c r="A13" s="105">
        <v>43546</v>
      </c>
      <c r="B13" s="101">
        <v>-58.5</v>
      </c>
      <c r="C13" s="101" t="s">
        <v>5</v>
      </c>
      <c r="D13" s="101"/>
      <c r="E13" s="101">
        <f>+B13</f>
        <v>-58.5</v>
      </c>
      <c r="F13" s="101"/>
      <c r="G13" s="101"/>
      <c r="H13" s="101"/>
      <c r="I13" s="101"/>
      <c r="J13" s="101"/>
      <c r="K13" s="101"/>
      <c r="L13" s="101"/>
      <c r="M13" s="112">
        <f t="shared" si="0"/>
        <v>20425.819999999996</v>
      </c>
    </row>
    <row r="14" spans="1:14" x14ac:dyDescent="0.35">
      <c r="A14" s="105">
        <v>43557</v>
      </c>
      <c r="B14" s="101">
        <v>3000</v>
      </c>
      <c r="C14" s="101" t="s">
        <v>78</v>
      </c>
      <c r="D14" s="101">
        <f>+B14</f>
        <v>3000</v>
      </c>
      <c r="E14" s="101"/>
      <c r="F14" s="101"/>
      <c r="G14" s="101"/>
      <c r="H14" s="101"/>
      <c r="I14" s="101"/>
      <c r="J14" s="101"/>
      <c r="K14" s="101"/>
      <c r="L14" s="101"/>
      <c r="M14" s="101">
        <f t="shared" si="0"/>
        <v>23425.819999999996</v>
      </c>
    </row>
    <row r="15" spans="1:14" x14ac:dyDescent="0.35">
      <c r="A15" s="105">
        <v>43558</v>
      </c>
      <c r="B15" s="101">
        <v>1125</v>
      </c>
      <c r="C15" s="101" t="s">
        <v>78</v>
      </c>
      <c r="D15" s="101">
        <f>+B15</f>
        <v>1125</v>
      </c>
      <c r="E15" s="101"/>
      <c r="F15" s="101"/>
      <c r="G15" s="101"/>
      <c r="H15" s="101"/>
      <c r="I15" s="101"/>
      <c r="J15" s="101"/>
      <c r="K15" s="101"/>
      <c r="L15" s="101"/>
      <c r="M15" s="101">
        <f t="shared" si="0"/>
        <v>24550.819999999996</v>
      </c>
    </row>
    <row r="16" spans="1:14" x14ac:dyDescent="0.35">
      <c r="A16" s="105">
        <v>43559</v>
      </c>
      <c r="B16" s="101">
        <v>1125</v>
      </c>
      <c r="C16" s="101" t="s">
        <v>78</v>
      </c>
      <c r="D16" s="101">
        <f>+B16</f>
        <v>1125</v>
      </c>
      <c r="E16" s="101"/>
      <c r="F16" s="101"/>
      <c r="G16" s="101"/>
      <c r="H16" s="101"/>
      <c r="I16" s="101"/>
      <c r="J16" s="101"/>
      <c r="K16" s="101"/>
      <c r="L16" s="101"/>
      <c r="M16" s="101">
        <f t="shared" si="0"/>
        <v>25675.819999999996</v>
      </c>
    </row>
    <row r="17" spans="1:13" x14ac:dyDescent="0.35">
      <c r="A17" s="105">
        <v>43559</v>
      </c>
      <c r="B17" s="101">
        <v>-4</v>
      </c>
      <c r="C17" s="101" t="s">
        <v>86</v>
      </c>
      <c r="D17" s="101"/>
      <c r="E17" s="101"/>
      <c r="F17" s="101"/>
      <c r="G17" s="101"/>
      <c r="H17" s="101"/>
      <c r="I17" s="101">
        <f>+B17</f>
        <v>-4</v>
      </c>
      <c r="J17" s="101"/>
      <c r="K17" s="101"/>
      <c r="L17" s="101"/>
      <c r="M17" s="101">
        <f t="shared" si="0"/>
        <v>25671.819999999996</v>
      </c>
    </row>
    <row r="18" spans="1:13" x14ac:dyDescent="0.35">
      <c r="A18" s="105">
        <v>43560</v>
      </c>
      <c r="B18" s="101">
        <v>1125</v>
      </c>
      <c r="C18" s="101" t="s">
        <v>78</v>
      </c>
      <c r="D18" s="101">
        <f>+B18</f>
        <v>1125</v>
      </c>
      <c r="E18" s="101"/>
      <c r="F18" s="101"/>
      <c r="G18" s="101"/>
      <c r="H18" s="101"/>
      <c r="I18" s="101"/>
      <c r="J18" s="101"/>
      <c r="K18" s="101"/>
      <c r="L18" s="101"/>
      <c r="M18" s="101">
        <f t="shared" si="0"/>
        <v>26796.819999999996</v>
      </c>
    </row>
    <row r="19" spans="1:13" x14ac:dyDescent="0.35">
      <c r="A19" s="105">
        <v>43560</v>
      </c>
      <c r="B19" s="101">
        <v>-160.19999999999999</v>
      </c>
      <c r="C19" s="101" t="s">
        <v>16</v>
      </c>
      <c r="D19" s="101"/>
      <c r="E19" s="101"/>
      <c r="F19" s="101"/>
      <c r="G19" s="101">
        <f>B19</f>
        <v>-160.19999999999999</v>
      </c>
      <c r="H19" s="101"/>
      <c r="I19" s="101"/>
      <c r="J19" s="101"/>
      <c r="K19" s="101"/>
      <c r="L19" s="101"/>
      <c r="M19" s="101">
        <f t="shared" si="0"/>
        <v>26636.619999999995</v>
      </c>
    </row>
    <row r="20" spans="1:13" x14ac:dyDescent="0.35">
      <c r="A20" s="105">
        <v>43561</v>
      </c>
      <c r="B20" s="101">
        <v>750</v>
      </c>
      <c r="C20" s="101" t="s">
        <v>78</v>
      </c>
      <c r="D20" s="101">
        <f>+B20</f>
        <v>750</v>
      </c>
      <c r="E20" s="101"/>
      <c r="F20" s="101"/>
      <c r="G20" s="101"/>
      <c r="H20" s="101"/>
      <c r="I20" s="101"/>
      <c r="J20" s="101"/>
      <c r="K20" s="101"/>
      <c r="L20" s="101"/>
      <c r="M20" s="101">
        <f t="shared" si="0"/>
        <v>27386.619999999995</v>
      </c>
    </row>
    <row r="21" spans="1:13" x14ac:dyDescent="0.35">
      <c r="A21" s="105">
        <v>43566</v>
      </c>
      <c r="B21" s="101">
        <v>-586.87</v>
      </c>
      <c r="C21" s="101" t="s">
        <v>83</v>
      </c>
      <c r="D21" s="101"/>
      <c r="E21" s="101"/>
      <c r="F21" s="101">
        <f>+B21</f>
        <v>-586.87</v>
      </c>
      <c r="G21" s="101"/>
      <c r="H21" s="101"/>
      <c r="I21" s="101"/>
      <c r="J21" s="101"/>
      <c r="K21" s="101"/>
      <c r="L21" s="101"/>
      <c r="M21" s="101">
        <f t="shared" si="0"/>
        <v>26799.749999999996</v>
      </c>
    </row>
    <row r="22" spans="1:13" x14ac:dyDescent="0.35">
      <c r="A22" s="105">
        <v>43573</v>
      </c>
      <c r="B22" s="101">
        <v>-586.87</v>
      </c>
      <c r="C22" s="101" t="s">
        <v>83</v>
      </c>
      <c r="D22" s="101"/>
      <c r="E22" s="101"/>
      <c r="F22" s="101">
        <f>+B22</f>
        <v>-586.87</v>
      </c>
      <c r="G22" s="101"/>
      <c r="H22" s="101"/>
      <c r="I22" s="101"/>
      <c r="J22" s="101"/>
      <c r="K22" s="101"/>
      <c r="L22" s="101"/>
      <c r="M22" s="101">
        <f t="shared" si="0"/>
        <v>26212.879999999997</v>
      </c>
    </row>
    <row r="23" spans="1:13" x14ac:dyDescent="0.35">
      <c r="A23" s="105">
        <v>43579</v>
      </c>
      <c r="B23" s="101">
        <v>-58.5</v>
      </c>
      <c r="C23" s="101" t="s">
        <v>5</v>
      </c>
      <c r="D23" s="101"/>
      <c r="E23" s="101">
        <f>+B23</f>
        <v>-58.5</v>
      </c>
      <c r="F23" s="101"/>
      <c r="G23" s="101"/>
      <c r="H23" s="101"/>
      <c r="I23" s="101"/>
      <c r="J23" s="101"/>
      <c r="K23" s="101"/>
      <c r="L23" s="101"/>
      <c r="M23" s="112">
        <f t="shared" si="0"/>
        <v>26154.379999999997</v>
      </c>
    </row>
    <row r="24" spans="1:13" x14ac:dyDescent="0.35">
      <c r="A24" s="105">
        <v>43587</v>
      </c>
      <c r="B24" s="101">
        <v>-4</v>
      </c>
      <c r="C24" s="101" t="s">
        <v>86</v>
      </c>
      <c r="D24" s="101"/>
      <c r="E24" s="101"/>
      <c r="F24" s="101"/>
      <c r="G24" s="101"/>
      <c r="H24" s="101"/>
      <c r="I24" s="101">
        <f>+B24</f>
        <v>-4</v>
      </c>
      <c r="J24" s="101"/>
      <c r="K24" s="101"/>
      <c r="L24" s="101"/>
      <c r="M24" s="101">
        <f t="shared" si="0"/>
        <v>26150.379999999997</v>
      </c>
    </row>
    <row r="25" spans="1:13" x14ac:dyDescent="0.35">
      <c r="A25" s="105">
        <v>43596</v>
      </c>
      <c r="B25" s="101">
        <v>-625.37</v>
      </c>
      <c r="C25" s="101" t="s">
        <v>83</v>
      </c>
      <c r="D25" s="101"/>
      <c r="E25" s="101"/>
      <c r="F25" s="101">
        <f>+B25</f>
        <v>-625.37</v>
      </c>
      <c r="G25" s="101"/>
      <c r="H25" s="101"/>
      <c r="I25" s="101"/>
      <c r="J25" s="101"/>
      <c r="K25" s="101"/>
      <c r="L25" s="101"/>
      <c r="M25" s="101">
        <f t="shared" si="0"/>
        <v>25525.01</v>
      </c>
    </row>
    <row r="26" spans="1:13" x14ac:dyDescent="0.35">
      <c r="A26" s="105">
        <v>43607</v>
      </c>
      <c r="B26" s="101">
        <v>375</v>
      </c>
      <c r="C26" s="101" t="s">
        <v>78</v>
      </c>
      <c r="D26" s="101">
        <f>+B26</f>
        <v>375</v>
      </c>
      <c r="E26" s="101"/>
      <c r="F26" s="101"/>
      <c r="G26" s="101"/>
      <c r="H26" s="101"/>
      <c r="I26" s="101"/>
      <c r="J26" s="101"/>
      <c r="K26" s="101"/>
      <c r="L26" s="101"/>
      <c r="M26" s="101">
        <f t="shared" si="0"/>
        <v>25900.01</v>
      </c>
    </row>
    <row r="27" spans="1:13" x14ac:dyDescent="0.35">
      <c r="A27" s="105">
        <v>43608</v>
      </c>
      <c r="B27" s="101">
        <v>-58.5</v>
      </c>
      <c r="C27" s="101" t="s">
        <v>5</v>
      </c>
      <c r="D27" s="101"/>
      <c r="E27" s="101">
        <f>+B27</f>
        <v>-58.5</v>
      </c>
      <c r="F27" s="101"/>
      <c r="G27" s="101"/>
      <c r="H27" s="101"/>
      <c r="I27" s="101"/>
      <c r="J27" s="101"/>
      <c r="K27" s="101"/>
      <c r="L27" s="101"/>
      <c r="M27" s="112">
        <f t="shared" si="0"/>
        <v>25841.51</v>
      </c>
    </row>
    <row r="28" spans="1:13" x14ac:dyDescent="0.35">
      <c r="A28" s="105">
        <v>43617</v>
      </c>
      <c r="B28" s="101">
        <v>-4</v>
      </c>
      <c r="C28" s="101" t="s">
        <v>86</v>
      </c>
      <c r="D28" s="101"/>
      <c r="E28" s="101"/>
      <c r="F28" s="101"/>
      <c r="G28" s="101"/>
      <c r="H28" s="101"/>
      <c r="I28" s="101">
        <f>+B28</f>
        <v>-4</v>
      </c>
      <c r="J28" s="101"/>
      <c r="K28" s="101"/>
      <c r="L28" s="101"/>
      <c r="M28" s="101">
        <f t="shared" si="0"/>
        <v>25837.51</v>
      </c>
    </row>
    <row r="29" spans="1:13" x14ac:dyDescent="0.35">
      <c r="A29" s="105">
        <v>43627</v>
      </c>
      <c r="B29" s="101">
        <v>-625.37</v>
      </c>
      <c r="C29" s="101" t="s">
        <v>83</v>
      </c>
      <c r="D29" s="101"/>
      <c r="E29" s="101"/>
      <c r="F29" s="101">
        <f>+B29</f>
        <v>-625.37</v>
      </c>
      <c r="G29" s="101"/>
      <c r="H29" s="101"/>
      <c r="I29" s="101"/>
      <c r="J29" s="101"/>
      <c r="K29" s="101"/>
      <c r="L29" s="101"/>
      <c r="M29" s="101">
        <f t="shared" si="0"/>
        <v>25212.14</v>
      </c>
    </row>
    <row r="30" spans="1:13" x14ac:dyDescent="0.35">
      <c r="A30" s="105">
        <v>43638</v>
      </c>
      <c r="B30" s="101">
        <v>-58.5</v>
      </c>
      <c r="C30" s="101" t="s">
        <v>5</v>
      </c>
      <c r="D30" s="101"/>
      <c r="E30" s="101">
        <f>+B30</f>
        <v>-58.5</v>
      </c>
      <c r="F30" s="101"/>
      <c r="G30" s="101"/>
      <c r="H30" s="101"/>
      <c r="I30" s="101"/>
      <c r="J30" s="101"/>
      <c r="K30" s="101"/>
      <c r="L30" s="101"/>
      <c r="M30" s="112">
        <f t="shared" si="0"/>
        <v>25153.64</v>
      </c>
    </row>
    <row r="31" spans="1:13" x14ac:dyDescent="0.35">
      <c r="A31" s="105">
        <v>43649</v>
      </c>
      <c r="B31" s="101">
        <v>-4</v>
      </c>
      <c r="C31" s="101" t="s">
        <v>86</v>
      </c>
      <c r="D31" s="101"/>
      <c r="E31" s="101"/>
      <c r="F31" s="101"/>
      <c r="G31" s="101"/>
      <c r="H31" s="101"/>
      <c r="I31" s="101">
        <f>+B31</f>
        <v>-4</v>
      </c>
      <c r="J31" s="101"/>
      <c r="K31" s="101"/>
      <c r="L31" s="101"/>
      <c r="M31" s="101">
        <f t="shared" si="0"/>
        <v>25149.64</v>
      </c>
    </row>
    <row r="32" spans="1:13" x14ac:dyDescent="0.35">
      <c r="A32" s="105">
        <v>43670</v>
      </c>
      <c r="B32" s="101">
        <v>-58.5</v>
      </c>
      <c r="C32" s="101" t="s">
        <v>5</v>
      </c>
      <c r="D32" s="101"/>
      <c r="E32" s="101">
        <f>+B32</f>
        <v>-58.5</v>
      </c>
      <c r="F32" s="101"/>
      <c r="G32" s="101"/>
      <c r="H32" s="101"/>
      <c r="I32" s="101"/>
      <c r="J32" s="101"/>
      <c r="K32" s="101"/>
      <c r="L32" s="101"/>
      <c r="M32" s="112">
        <f t="shared" si="0"/>
        <v>25091.14</v>
      </c>
    </row>
    <row r="33" spans="1:13" x14ac:dyDescent="0.35">
      <c r="A33" s="105">
        <v>43679</v>
      </c>
      <c r="B33" s="101">
        <v>-4</v>
      </c>
      <c r="C33" s="101" t="s">
        <v>86</v>
      </c>
      <c r="D33" s="101"/>
      <c r="E33" s="101"/>
      <c r="F33" s="101"/>
      <c r="G33" s="101"/>
      <c r="H33" s="101"/>
      <c r="I33" s="101">
        <f>+B33</f>
        <v>-4</v>
      </c>
      <c r="J33" s="101"/>
      <c r="K33" s="101"/>
      <c r="L33" s="101"/>
      <c r="M33" s="101">
        <f t="shared" si="0"/>
        <v>25087.14</v>
      </c>
    </row>
    <row r="34" spans="1:13" x14ac:dyDescent="0.35">
      <c r="A34" s="105">
        <v>43699</v>
      </c>
      <c r="B34" s="101">
        <v>-58.5</v>
      </c>
      <c r="C34" s="101" t="s">
        <v>5</v>
      </c>
      <c r="D34" s="101"/>
      <c r="E34" s="101">
        <f>+B34</f>
        <v>-58.5</v>
      </c>
      <c r="F34" s="101"/>
      <c r="G34" s="101"/>
      <c r="H34" s="101"/>
      <c r="I34" s="101"/>
      <c r="J34" s="101"/>
      <c r="K34" s="101"/>
      <c r="L34" s="101"/>
      <c r="M34" s="101">
        <f t="shared" si="0"/>
        <v>25028.639999999999</v>
      </c>
    </row>
    <row r="35" spans="1:13" x14ac:dyDescent="0.35">
      <c r="A35" s="105">
        <v>43700</v>
      </c>
      <c r="B35" s="101">
        <v>375</v>
      </c>
      <c r="C35" s="101" t="s">
        <v>78</v>
      </c>
      <c r="D35" s="101">
        <f>+B35</f>
        <v>375</v>
      </c>
      <c r="E35" s="101"/>
      <c r="F35" s="101"/>
      <c r="G35" s="101"/>
      <c r="H35" s="101"/>
      <c r="I35" s="101"/>
      <c r="J35" s="101"/>
      <c r="K35" s="101"/>
      <c r="L35" s="101"/>
      <c r="M35" s="101">
        <f t="shared" si="0"/>
        <v>25403.64</v>
      </c>
    </row>
    <row r="36" spans="1:13" x14ac:dyDescent="0.35">
      <c r="A36" s="105">
        <v>43701</v>
      </c>
      <c r="B36" s="101">
        <v>-421.17</v>
      </c>
      <c r="C36" s="101" t="s">
        <v>16</v>
      </c>
      <c r="D36" s="101"/>
      <c r="E36" s="101"/>
      <c r="F36" s="101"/>
      <c r="G36" s="101">
        <f>+B36</f>
        <v>-421.17</v>
      </c>
      <c r="H36" s="101"/>
      <c r="I36" s="101"/>
      <c r="J36" s="101"/>
      <c r="K36" s="101"/>
      <c r="L36" s="101"/>
      <c r="M36" s="101">
        <f t="shared" si="0"/>
        <v>24982.47</v>
      </c>
    </row>
    <row r="37" spans="1:13" x14ac:dyDescent="0.35">
      <c r="A37" s="105">
        <v>43708</v>
      </c>
      <c r="B37" s="101">
        <v>-35.75</v>
      </c>
      <c r="C37" s="101" t="s">
        <v>85</v>
      </c>
      <c r="D37" s="101"/>
      <c r="E37" s="101"/>
      <c r="F37" s="101"/>
      <c r="G37" s="101"/>
      <c r="H37" s="101">
        <f>+B37</f>
        <v>-35.75</v>
      </c>
      <c r="I37" s="101"/>
      <c r="J37" s="101"/>
      <c r="K37" s="101"/>
      <c r="L37" s="101"/>
      <c r="M37" s="112">
        <f t="shared" si="0"/>
        <v>24946.720000000001</v>
      </c>
    </row>
    <row r="38" spans="1:13" x14ac:dyDescent="0.35">
      <c r="A38" s="105">
        <v>43712</v>
      </c>
      <c r="B38" s="101">
        <v>-250</v>
      </c>
      <c r="C38" s="101" t="s">
        <v>87</v>
      </c>
      <c r="D38" s="101"/>
      <c r="E38" s="101"/>
      <c r="F38" s="101"/>
      <c r="G38" s="101"/>
      <c r="H38" s="101"/>
      <c r="I38" s="101"/>
      <c r="J38" s="101"/>
      <c r="K38" s="101">
        <f>+B38</f>
        <v>-250</v>
      </c>
      <c r="L38" s="101" t="s">
        <v>238</v>
      </c>
      <c r="M38" s="101">
        <f t="shared" si="0"/>
        <v>24696.720000000001</v>
      </c>
    </row>
    <row r="39" spans="1:13" x14ac:dyDescent="0.35">
      <c r="A39" s="105">
        <v>43713</v>
      </c>
      <c r="B39" s="101">
        <v>-4</v>
      </c>
      <c r="C39" s="101" t="s">
        <v>86</v>
      </c>
      <c r="D39" s="101"/>
      <c r="E39" s="101"/>
      <c r="F39" s="101"/>
      <c r="G39" s="101"/>
      <c r="H39" s="101"/>
      <c r="I39" s="101">
        <f>+B39</f>
        <v>-4</v>
      </c>
      <c r="J39" s="101"/>
      <c r="K39" s="101"/>
      <c r="L39" s="101"/>
      <c r="M39" s="101">
        <f t="shared" si="0"/>
        <v>24692.720000000001</v>
      </c>
    </row>
    <row r="40" spans="1:13" x14ac:dyDescent="0.35">
      <c r="A40" s="105">
        <v>43713</v>
      </c>
      <c r="B40" s="101">
        <v>-1615.5</v>
      </c>
      <c r="C40" s="101" t="s">
        <v>88</v>
      </c>
      <c r="D40" s="101"/>
      <c r="E40" s="101"/>
      <c r="F40" s="101">
        <f>+B40</f>
        <v>-1615.5</v>
      </c>
      <c r="G40" s="101"/>
      <c r="H40" s="101"/>
      <c r="I40" s="101"/>
      <c r="J40" s="101"/>
      <c r="K40" s="101"/>
      <c r="L40" s="101"/>
      <c r="M40" s="101">
        <f t="shared" si="0"/>
        <v>23077.22</v>
      </c>
    </row>
    <row r="41" spans="1:13" x14ac:dyDescent="0.35">
      <c r="A41" s="105">
        <v>43732</v>
      </c>
      <c r="B41" s="101">
        <v>-58.5</v>
      </c>
      <c r="C41" s="101" t="s">
        <v>5</v>
      </c>
      <c r="D41" s="101"/>
      <c r="E41" s="101">
        <f>+B41</f>
        <v>-58.5</v>
      </c>
      <c r="F41" s="101"/>
      <c r="G41" s="101"/>
      <c r="H41" s="101"/>
      <c r="I41" s="101"/>
      <c r="J41" s="101"/>
      <c r="K41" s="101"/>
      <c r="L41" s="101"/>
      <c r="M41" s="112">
        <f t="shared" si="0"/>
        <v>23018.720000000001</v>
      </c>
    </row>
    <row r="42" spans="1:13" x14ac:dyDescent="0.35">
      <c r="A42" s="105">
        <v>43742</v>
      </c>
      <c r="B42" s="101">
        <v>-4</v>
      </c>
      <c r="C42" s="101" t="s">
        <v>86</v>
      </c>
      <c r="D42" s="101"/>
      <c r="E42" s="101"/>
      <c r="F42" s="101"/>
      <c r="G42" s="101"/>
      <c r="H42" s="101"/>
      <c r="I42" s="101">
        <f>+B42</f>
        <v>-4</v>
      </c>
      <c r="J42" s="101"/>
      <c r="K42" s="101"/>
      <c r="L42" s="101"/>
      <c r="M42" s="101">
        <f t="shared" si="0"/>
        <v>23014.720000000001</v>
      </c>
    </row>
    <row r="43" spans="1:13" x14ac:dyDescent="0.35">
      <c r="A43" s="105">
        <v>43762</v>
      </c>
      <c r="B43" s="101">
        <v>-58.5</v>
      </c>
      <c r="C43" s="101" t="s">
        <v>5</v>
      </c>
      <c r="D43" s="101"/>
      <c r="E43" s="101">
        <f>+B43</f>
        <v>-58.5</v>
      </c>
      <c r="F43" s="101"/>
      <c r="G43" s="101"/>
      <c r="H43" s="101"/>
      <c r="I43" s="101"/>
      <c r="J43" s="101"/>
      <c r="K43" s="101"/>
      <c r="L43" s="101"/>
      <c r="M43" s="101">
        <f t="shared" si="0"/>
        <v>22956.22</v>
      </c>
    </row>
    <row r="44" spans="1:13" x14ac:dyDescent="0.35">
      <c r="A44" s="105">
        <v>43769</v>
      </c>
      <c r="B44" s="101">
        <v>-1615</v>
      </c>
      <c r="C44" s="101" t="s">
        <v>88</v>
      </c>
      <c r="D44" s="101"/>
      <c r="E44" s="101"/>
      <c r="F44" s="101">
        <f>+B44</f>
        <v>-1615</v>
      </c>
      <c r="G44" s="101"/>
      <c r="H44" s="101"/>
      <c r="I44" s="101"/>
      <c r="J44" s="101"/>
      <c r="K44" s="101"/>
      <c r="L44" s="101"/>
      <c r="M44" s="112">
        <f t="shared" si="0"/>
        <v>21341.22</v>
      </c>
    </row>
    <row r="45" spans="1:13" x14ac:dyDescent="0.35">
      <c r="A45" s="105">
        <v>43771</v>
      </c>
      <c r="B45" s="101">
        <v>-4</v>
      </c>
      <c r="C45" s="101" t="s">
        <v>86</v>
      </c>
      <c r="D45" s="101"/>
      <c r="E45" s="101"/>
      <c r="F45" s="101"/>
      <c r="G45" s="101"/>
      <c r="H45" s="101"/>
      <c r="I45" s="101">
        <f>+B45</f>
        <v>-4</v>
      </c>
      <c r="J45" s="101"/>
      <c r="K45" s="101"/>
      <c r="L45" s="101"/>
      <c r="M45" s="101">
        <f t="shared" si="0"/>
        <v>21337.22</v>
      </c>
    </row>
    <row r="46" spans="1:13" x14ac:dyDescent="0.35">
      <c r="A46" s="105">
        <v>43792</v>
      </c>
      <c r="B46" s="101">
        <v>-58.5</v>
      </c>
      <c r="C46" s="101" t="s">
        <v>5</v>
      </c>
      <c r="D46" s="101"/>
      <c r="E46" s="101">
        <f>+B46</f>
        <v>-58.5</v>
      </c>
      <c r="F46" s="101"/>
      <c r="G46" s="101"/>
      <c r="H46" s="101"/>
      <c r="I46" s="101"/>
      <c r="J46" s="101"/>
      <c r="K46" s="101"/>
      <c r="L46" s="101"/>
      <c r="M46" s="101">
        <f t="shared" si="0"/>
        <v>21278.720000000001</v>
      </c>
    </row>
    <row r="47" spans="1:13" x14ac:dyDescent="0.35">
      <c r="A47" s="105">
        <v>43798</v>
      </c>
      <c r="B47" s="101">
        <v>375</v>
      </c>
      <c r="C47" s="101" t="s">
        <v>78</v>
      </c>
      <c r="D47" s="101">
        <f>+B47</f>
        <v>375</v>
      </c>
      <c r="E47" s="101"/>
      <c r="F47" s="101"/>
      <c r="G47" s="101"/>
      <c r="H47" s="101"/>
      <c r="I47" s="101"/>
      <c r="J47" s="101"/>
      <c r="K47" s="101"/>
      <c r="L47" s="101"/>
      <c r="M47" s="101">
        <f t="shared" si="0"/>
        <v>21653.72</v>
      </c>
    </row>
    <row r="48" spans="1:13" x14ac:dyDescent="0.35">
      <c r="A48" s="105">
        <v>43798</v>
      </c>
      <c r="B48" s="101">
        <v>-421.4</v>
      </c>
      <c r="C48" s="101" t="s">
        <v>16</v>
      </c>
      <c r="D48" s="101"/>
      <c r="E48" s="101"/>
      <c r="F48" s="101"/>
      <c r="G48" s="101">
        <f>+B48</f>
        <v>-421.4</v>
      </c>
      <c r="H48" s="101"/>
      <c r="I48" s="101"/>
      <c r="J48" s="101"/>
      <c r="K48" s="101"/>
      <c r="L48" s="101"/>
      <c r="M48" s="101">
        <f t="shared" si="0"/>
        <v>21232.32</v>
      </c>
    </row>
    <row r="49" spans="1:13" x14ac:dyDescent="0.35">
      <c r="A49" s="105">
        <v>43799</v>
      </c>
      <c r="B49" s="101">
        <v>375</v>
      </c>
      <c r="C49" s="101" t="s">
        <v>78</v>
      </c>
      <c r="D49" s="101">
        <f>+B49</f>
        <v>375</v>
      </c>
      <c r="E49" s="101"/>
      <c r="F49" s="101"/>
      <c r="G49" s="101"/>
      <c r="H49" s="101"/>
      <c r="I49" s="101"/>
      <c r="J49" s="101"/>
      <c r="K49" s="101"/>
      <c r="L49" s="101"/>
      <c r="M49" s="112">
        <f t="shared" si="0"/>
        <v>21607.32</v>
      </c>
    </row>
    <row r="50" spans="1:13" x14ac:dyDescent="0.35">
      <c r="A50" s="105">
        <v>43803</v>
      </c>
      <c r="B50" s="101">
        <v>-4</v>
      </c>
      <c r="C50" s="101" t="s">
        <v>86</v>
      </c>
      <c r="D50" s="101"/>
      <c r="E50" s="101"/>
      <c r="F50" s="101"/>
      <c r="G50" s="101"/>
      <c r="H50" s="101"/>
      <c r="I50" s="101">
        <f>+B50</f>
        <v>-4</v>
      </c>
      <c r="J50" s="101"/>
      <c r="K50" s="101"/>
      <c r="L50" s="101"/>
      <c r="M50" s="101">
        <f t="shared" si="0"/>
        <v>21603.32</v>
      </c>
    </row>
    <row r="51" spans="1:13" x14ac:dyDescent="0.35">
      <c r="A51" s="105">
        <v>43805</v>
      </c>
      <c r="B51" s="101">
        <v>-45.75</v>
      </c>
      <c r="C51" s="101" t="s">
        <v>85</v>
      </c>
      <c r="D51" s="101"/>
      <c r="E51" s="101"/>
      <c r="F51" s="101"/>
      <c r="G51" s="101"/>
      <c r="H51" s="101">
        <f>+B51</f>
        <v>-45.75</v>
      </c>
      <c r="I51" s="101"/>
      <c r="J51" s="101"/>
      <c r="K51" s="101"/>
      <c r="L51" s="101"/>
      <c r="M51" s="101">
        <f t="shared" si="0"/>
        <v>21557.57</v>
      </c>
    </row>
    <row r="52" spans="1:13" x14ac:dyDescent="0.35">
      <c r="A52" s="105">
        <v>43809</v>
      </c>
      <c r="B52" s="101">
        <v>375</v>
      </c>
      <c r="C52" s="101" t="s">
        <v>78</v>
      </c>
      <c r="D52" s="101">
        <f>+B52</f>
        <v>375</v>
      </c>
      <c r="E52" s="101"/>
      <c r="F52" s="101"/>
      <c r="G52" s="101"/>
      <c r="H52" s="101"/>
      <c r="I52" s="101"/>
      <c r="J52" s="101"/>
      <c r="K52" s="101"/>
      <c r="L52" s="101"/>
      <c r="M52" s="101">
        <f t="shared" si="0"/>
        <v>21932.57</v>
      </c>
    </row>
    <row r="53" spans="1:13" x14ac:dyDescent="0.35">
      <c r="A53" s="105">
        <v>43816</v>
      </c>
      <c r="B53" s="101">
        <v>750</v>
      </c>
      <c r="C53" s="101" t="s">
        <v>78</v>
      </c>
      <c r="D53" s="101">
        <f>+B53</f>
        <v>750</v>
      </c>
      <c r="E53" s="101"/>
      <c r="F53" s="101"/>
      <c r="G53" s="101"/>
      <c r="H53" s="101"/>
      <c r="I53" s="101"/>
      <c r="J53" s="101"/>
      <c r="K53" s="101"/>
      <c r="L53" s="101"/>
      <c r="M53" s="101">
        <f t="shared" si="0"/>
        <v>22682.57</v>
      </c>
    </row>
    <row r="54" spans="1:13" x14ac:dyDescent="0.35">
      <c r="A54" s="105">
        <v>43817</v>
      </c>
      <c r="B54" s="101">
        <v>750</v>
      </c>
      <c r="C54" s="101" t="s">
        <v>78</v>
      </c>
      <c r="D54" s="101">
        <f>+B54</f>
        <v>750</v>
      </c>
      <c r="E54" s="101"/>
      <c r="F54" s="101"/>
      <c r="G54" s="101"/>
      <c r="H54" s="101"/>
      <c r="I54" s="101"/>
      <c r="J54" s="101"/>
      <c r="K54" s="101"/>
      <c r="L54" s="101"/>
      <c r="M54" s="101">
        <f t="shared" si="0"/>
        <v>23432.57</v>
      </c>
    </row>
    <row r="55" spans="1:13" x14ac:dyDescent="0.35">
      <c r="A55" s="105">
        <v>43823</v>
      </c>
      <c r="B55" s="101">
        <v>-58.5</v>
      </c>
      <c r="C55" s="101" t="s">
        <v>5</v>
      </c>
      <c r="D55" s="107"/>
      <c r="E55" s="107">
        <f>+B55</f>
        <v>-58.5</v>
      </c>
      <c r="F55" s="107"/>
      <c r="G55" s="107"/>
      <c r="H55" s="107"/>
      <c r="I55" s="107"/>
      <c r="J55" s="107"/>
      <c r="K55" s="107"/>
      <c r="L55" s="101" t="s">
        <v>101</v>
      </c>
      <c r="M55" s="112">
        <f t="shared" si="0"/>
        <v>23374.07</v>
      </c>
    </row>
    <row r="56" spans="1:13" x14ac:dyDescent="0.35">
      <c r="B56" s="101">
        <f>SUM(B6:B55)</f>
        <v>213.97000000000071</v>
      </c>
      <c r="C56" s="101"/>
      <c r="D56" s="101">
        <f>SUM(D6:D55)</f>
        <v>10500</v>
      </c>
      <c r="E56" s="101">
        <f t="shared" ref="E56:K56" si="1">SUM(E6:E55)</f>
        <v>-702</v>
      </c>
      <c r="F56" s="101">
        <f t="shared" si="1"/>
        <v>-8002.46</v>
      </c>
      <c r="G56" s="101">
        <f t="shared" si="1"/>
        <v>-1152.77</v>
      </c>
      <c r="H56" s="101">
        <f t="shared" si="1"/>
        <v>-126.5</v>
      </c>
      <c r="I56" s="101">
        <f t="shared" si="1"/>
        <v>-36</v>
      </c>
      <c r="J56" s="101">
        <f t="shared" si="1"/>
        <v>-16.3</v>
      </c>
      <c r="K56" s="101">
        <f t="shared" si="1"/>
        <v>-250</v>
      </c>
      <c r="L56" s="101">
        <f>SUM(D56:K56)</f>
        <v>213.96999999999997</v>
      </c>
      <c r="M56" s="101"/>
    </row>
    <row r="57" spans="1:13" x14ac:dyDescent="0.35">
      <c r="B57" s="101"/>
      <c r="C57" s="106" t="s">
        <v>90</v>
      </c>
      <c r="D57" s="107">
        <v>375</v>
      </c>
      <c r="E57" s="107"/>
      <c r="F57" s="107"/>
      <c r="G57" s="101"/>
      <c r="H57" s="101"/>
      <c r="I57" s="101"/>
      <c r="J57" s="101"/>
      <c r="K57" s="101"/>
      <c r="L57" s="101">
        <f>+M2+L56</f>
        <v>23374.07</v>
      </c>
      <c r="M57" s="101"/>
    </row>
    <row r="58" spans="1:13" x14ac:dyDescent="0.35">
      <c r="B58" s="101"/>
      <c r="C58" s="106" t="s">
        <v>89</v>
      </c>
      <c r="D58" s="149">
        <f>+D56/D57</f>
        <v>28</v>
      </c>
      <c r="E58" s="149"/>
      <c r="F58" s="150"/>
      <c r="G58" s="101"/>
      <c r="H58" s="101"/>
      <c r="I58" s="101"/>
      <c r="J58" s="101"/>
      <c r="K58" s="101"/>
      <c r="L58" s="101">
        <f>+M55-L57</f>
        <v>0</v>
      </c>
      <c r="M58" s="101"/>
    </row>
    <row r="59" spans="1:13" x14ac:dyDescent="0.35">
      <c r="C59" s="106" t="s">
        <v>117</v>
      </c>
      <c r="D59" s="151">
        <v>32</v>
      </c>
      <c r="M59" s="101"/>
    </row>
    <row r="60" spans="1:13" x14ac:dyDescent="0.35">
      <c r="C60" s="106" t="s">
        <v>118</v>
      </c>
      <c r="D60" s="150">
        <f>+D58-D59</f>
        <v>-4</v>
      </c>
    </row>
  </sheetData>
  <pageMargins left="0.7" right="0.7" top="0.75" bottom="0.75" header="0.3" footer="0.3"/>
  <pageSetup scale="57" orientation="landscape" horizontalDpi="4294967293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CC9900"/>
    <pageSetUpPr fitToPage="1"/>
  </sheetPr>
  <dimension ref="A1:O36"/>
  <sheetViews>
    <sheetView zoomScale="89" zoomScaleNormal="89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B24" sqref="B24"/>
    </sheetView>
  </sheetViews>
  <sheetFormatPr defaultColWidth="8.6328125" defaultRowHeight="15.5" x14ac:dyDescent="0.35"/>
  <cols>
    <col min="1" max="1" width="14.6328125" style="1" customWidth="1"/>
    <col min="2" max="2" width="33.453125" style="1" customWidth="1"/>
    <col min="3" max="3" width="12.54296875" style="1" customWidth="1"/>
    <col min="4" max="6" width="11.6328125" style="9" customWidth="1"/>
    <col min="7" max="15" width="11.6328125" style="1" customWidth="1"/>
    <col min="16" max="16384" width="8.6328125" style="1"/>
  </cols>
  <sheetData>
    <row r="1" spans="1:15" ht="31.5" customHeight="1" x14ac:dyDescent="0.35">
      <c r="A1" s="522" t="s">
        <v>163</v>
      </c>
      <c r="B1" s="523"/>
      <c r="C1" s="35" t="s">
        <v>67</v>
      </c>
      <c r="D1" s="17" t="s">
        <v>31</v>
      </c>
      <c r="E1" s="204" t="s">
        <v>32</v>
      </c>
      <c r="F1" s="204" t="s">
        <v>33</v>
      </c>
      <c r="G1" s="15" t="s">
        <v>34</v>
      </c>
      <c r="H1" s="15" t="s">
        <v>35</v>
      </c>
      <c r="I1" s="15" t="s">
        <v>36</v>
      </c>
      <c r="J1" s="15" t="s">
        <v>37</v>
      </c>
      <c r="K1" s="15" t="s">
        <v>38</v>
      </c>
      <c r="L1" s="15" t="s">
        <v>39</v>
      </c>
      <c r="M1" s="15" t="s">
        <v>40</v>
      </c>
      <c r="N1" s="15" t="s">
        <v>51</v>
      </c>
      <c r="O1" s="15" t="s">
        <v>52</v>
      </c>
    </row>
    <row r="2" spans="1:15" x14ac:dyDescent="0.35">
      <c r="A2" s="37" t="s">
        <v>195</v>
      </c>
      <c r="B2" s="38"/>
      <c r="C2" s="39">
        <f>+'2018 Ck Reg'!M2</f>
        <v>23160.1</v>
      </c>
      <c r="D2" s="40">
        <f>+C2</f>
        <v>23160.1</v>
      </c>
      <c r="E2" s="41">
        <f>+D26</f>
        <v>23101.599999999999</v>
      </c>
      <c r="F2" s="41">
        <f t="shared" ref="F2:O2" si="0">+E26</f>
        <v>21853.059999999998</v>
      </c>
      <c r="G2" s="41">
        <f t="shared" si="0"/>
        <v>20425.819999999996</v>
      </c>
      <c r="H2" s="41">
        <f t="shared" si="0"/>
        <v>26154.379999999997</v>
      </c>
      <c r="I2" s="41">
        <f t="shared" si="0"/>
        <v>25841.51</v>
      </c>
      <c r="J2" s="41">
        <f t="shared" si="0"/>
        <v>25153.64</v>
      </c>
      <c r="K2" s="41">
        <f t="shared" si="0"/>
        <v>25091.14</v>
      </c>
      <c r="L2" s="41">
        <f t="shared" si="0"/>
        <v>24946.720000000001</v>
      </c>
      <c r="M2" s="41">
        <f t="shared" si="0"/>
        <v>23018.720000000001</v>
      </c>
      <c r="N2" s="41">
        <f t="shared" si="0"/>
        <v>21341.22</v>
      </c>
      <c r="O2" s="41">
        <f t="shared" si="0"/>
        <v>21607.32</v>
      </c>
    </row>
    <row r="3" spans="1:15" x14ac:dyDescent="0.35">
      <c r="A3" s="3"/>
      <c r="B3" s="6"/>
      <c r="C3" s="32"/>
      <c r="D3" s="26"/>
      <c r="E3" s="26"/>
      <c r="F3" s="26"/>
      <c r="G3" s="26"/>
      <c r="H3" s="27"/>
      <c r="I3" s="27"/>
      <c r="J3" s="27"/>
      <c r="K3" s="27"/>
      <c r="L3" s="27"/>
      <c r="M3" s="27"/>
      <c r="N3" s="27"/>
      <c r="O3" s="27"/>
    </row>
    <row r="4" spans="1:15" x14ac:dyDescent="0.35">
      <c r="A4" s="24" t="s">
        <v>44</v>
      </c>
      <c r="B4" s="6"/>
      <c r="C4" s="32"/>
      <c r="D4" s="26"/>
      <c r="E4" s="26"/>
      <c r="F4" s="26"/>
      <c r="G4" s="26"/>
      <c r="H4" s="27"/>
      <c r="I4" s="27"/>
      <c r="J4" s="27"/>
      <c r="K4" s="27"/>
      <c r="L4" s="27"/>
      <c r="M4" s="27"/>
      <c r="N4" s="27"/>
      <c r="O4" s="27"/>
    </row>
    <row r="5" spans="1:15" x14ac:dyDescent="0.35">
      <c r="A5" s="1" t="s">
        <v>78</v>
      </c>
      <c r="C5" s="32">
        <f>SUM(D5:O5)</f>
        <v>10500</v>
      </c>
      <c r="D5" s="50"/>
      <c r="E5" s="50"/>
      <c r="F5" s="50"/>
      <c r="G5" s="50">
        <v>7125</v>
      </c>
      <c r="H5" s="27">
        <v>375</v>
      </c>
      <c r="I5" s="27"/>
      <c r="J5" s="27"/>
      <c r="K5" s="27">
        <v>375</v>
      </c>
      <c r="L5" s="27"/>
      <c r="M5" s="27"/>
      <c r="N5" s="27">
        <v>750</v>
      </c>
      <c r="O5" s="27">
        <v>1875</v>
      </c>
    </row>
    <row r="6" spans="1:15" x14ac:dyDescent="0.35">
      <c r="A6" s="1" t="s">
        <v>73</v>
      </c>
      <c r="C6" s="33">
        <f>SUM(D6:O6)</f>
        <v>0</v>
      </c>
      <c r="D6" s="52"/>
      <c r="E6" s="52"/>
      <c r="F6" s="52"/>
      <c r="G6" s="52"/>
      <c r="H6" s="53"/>
      <c r="I6" s="53"/>
      <c r="J6" s="53"/>
      <c r="K6" s="53"/>
      <c r="L6" s="53"/>
      <c r="M6" s="53"/>
      <c r="N6" s="53"/>
      <c r="O6" s="53"/>
    </row>
    <row r="7" spans="1:15" x14ac:dyDescent="0.35">
      <c r="A7" s="95" t="s">
        <v>49</v>
      </c>
      <c r="C7" s="54">
        <f>SUM(C5:C6)</f>
        <v>10500</v>
      </c>
      <c r="D7" s="51">
        <f>SUM(D5:D6)</f>
        <v>0</v>
      </c>
      <c r="E7" s="51">
        <f>SUM(E5:E6)</f>
        <v>0</v>
      </c>
      <c r="F7" s="51">
        <f t="shared" ref="F7:O7" si="1">SUM(F5:F6)</f>
        <v>0</v>
      </c>
      <c r="G7" s="51">
        <f t="shared" si="1"/>
        <v>7125</v>
      </c>
      <c r="H7" s="51">
        <f t="shared" si="1"/>
        <v>375</v>
      </c>
      <c r="I7" s="51">
        <f t="shared" si="1"/>
        <v>0</v>
      </c>
      <c r="J7" s="51">
        <f t="shared" si="1"/>
        <v>0</v>
      </c>
      <c r="K7" s="51">
        <f t="shared" si="1"/>
        <v>375</v>
      </c>
      <c r="L7" s="51">
        <f t="shared" si="1"/>
        <v>0</v>
      </c>
      <c r="M7" s="51">
        <f t="shared" si="1"/>
        <v>0</v>
      </c>
      <c r="N7" s="51">
        <f t="shared" si="1"/>
        <v>750</v>
      </c>
      <c r="O7" s="51">
        <f t="shared" si="1"/>
        <v>1875</v>
      </c>
    </row>
    <row r="8" spans="1:15" x14ac:dyDescent="0.35">
      <c r="C8" s="32"/>
      <c r="D8" s="50"/>
      <c r="E8" s="50"/>
      <c r="F8" s="50"/>
      <c r="G8" s="27"/>
      <c r="H8" s="27"/>
      <c r="I8" s="27"/>
      <c r="J8" s="27"/>
      <c r="K8" s="27"/>
      <c r="L8" s="27"/>
      <c r="M8" s="27"/>
      <c r="N8" s="27"/>
      <c r="O8" s="27"/>
    </row>
    <row r="9" spans="1:15" x14ac:dyDescent="0.35">
      <c r="A9" s="24" t="s">
        <v>3</v>
      </c>
      <c r="C9" s="32"/>
      <c r="D9" s="26"/>
      <c r="E9" s="26"/>
      <c r="F9" s="26"/>
      <c r="G9" s="27"/>
      <c r="H9" s="27"/>
      <c r="I9" s="27"/>
      <c r="J9" s="27"/>
      <c r="K9" s="27"/>
      <c r="L9" s="27"/>
      <c r="M9" s="27"/>
      <c r="N9" s="27"/>
      <c r="O9" s="27"/>
    </row>
    <row r="10" spans="1:15" x14ac:dyDescent="0.35">
      <c r="A10" s="1" t="s">
        <v>48</v>
      </c>
      <c r="B10" s="1" t="s">
        <v>5</v>
      </c>
      <c r="C10" s="32">
        <f>SUM(D10:O10)</f>
        <v>702</v>
      </c>
      <c r="D10" s="26">
        <v>58.5</v>
      </c>
      <c r="E10" s="26">
        <v>58.5</v>
      </c>
      <c r="F10" s="26">
        <v>58.5</v>
      </c>
      <c r="G10" s="26">
        <v>58.5</v>
      </c>
      <c r="H10" s="26">
        <v>58.5</v>
      </c>
      <c r="I10" s="26">
        <v>58.5</v>
      </c>
      <c r="J10" s="26">
        <v>58.5</v>
      </c>
      <c r="K10" s="26">
        <v>58.5</v>
      </c>
      <c r="L10" s="26">
        <v>58.5</v>
      </c>
      <c r="M10" s="26">
        <v>58.5</v>
      </c>
      <c r="N10" s="26">
        <v>58.5</v>
      </c>
      <c r="O10" s="26">
        <v>58.5</v>
      </c>
    </row>
    <row r="11" spans="1:15" x14ac:dyDescent="0.35">
      <c r="C11" s="32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</row>
    <row r="12" spans="1:15" x14ac:dyDescent="0.35">
      <c r="A12" s="1" t="s">
        <v>279</v>
      </c>
      <c r="B12" s="1" t="s">
        <v>273</v>
      </c>
      <c r="C12" s="32">
        <f>SUM(D12:O12)</f>
        <v>8002.46</v>
      </c>
      <c r="D12" s="103"/>
      <c r="E12" s="103">
        <v>1173.74</v>
      </c>
      <c r="F12" s="103">
        <v>1173.74</v>
      </c>
      <c r="G12" s="103">
        <v>1173.74</v>
      </c>
      <c r="H12" s="103">
        <v>625.37</v>
      </c>
      <c r="I12" s="103">
        <v>625.37</v>
      </c>
      <c r="J12" s="103"/>
      <c r="K12" s="103"/>
      <c r="L12" s="103">
        <v>1615.5</v>
      </c>
      <c r="M12" s="103">
        <v>1615</v>
      </c>
      <c r="N12" s="103"/>
      <c r="O12" s="103"/>
    </row>
    <row r="13" spans="1:15" x14ac:dyDescent="0.35">
      <c r="B13" s="1" t="s">
        <v>277</v>
      </c>
      <c r="C13" s="32">
        <f>SUM(D13:O13)</f>
        <v>0</v>
      </c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</row>
    <row r="14" spans="1:15" x14ac:dyDescent="0.35">
      <c r="B14" s="1" t="s">
        <v>278</v>
      </c>
      <c r="C14" s="32">
        <f>SUM(D14:O14)</f>
        <v>0</v>
      </c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</row>
    <row r="15" spans="1:15" x14ac:dyDescent="0.35">
      <c r="C15" s="32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</row>
    <row r="16" spans="1:15" x14ac:dyDescent="0.35">
      <c r="A16" s="1" t="s">
        <v>46</v>
      </c>
      <c r="B16" s="1" t="s">
        <v>265</v>
      </c>
      <c r="C16" s="32">
        <f>SUM(D16:O16)</f>
        <v>52.3</v>
      </c>
      <c r="D16" s="26"/>
      <c r="E16" s="26">
        <v>16.3</v>
      </c>
      <c r="F16" s="26"/>
      <c r="G16" s="28">
        <v>4</v>
      </c>
      <c r="H16" s="26">
        <v>4</v>
      </c>
      <c r="I16" s="26">
        <v>4</v>
      </c>
      <c r="J16" s="26">
        <v>4</v>
      </c>
      <c r="K16" s="26">
        <v>4</v>
      </c>
      <c r="L16" s="26">
        <v>4</v>
      </c>
      <c r="M16" s="26">
        <v>4</v>
      </c>
      <c r="N16" s="26">
        <v>4</v>
      </c>
      <c r="O16" s="26">
        <v>4</v>
      </c>
    </row>
    <row r="17" spans="1:15" x14ac:dyDescent="0.35">
      <c r="C17" s="32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</row>
    <row r="18" spans="1:15" x14ac:dyDescent="0.35">
      <c r="A18" s="1" t="s">
        <v>45</v>
      </c>
      <c r="B18" s="1" t="s">
        <v>16</v>
      </c>
      <c r="C18" s="32">
        <f>SUM(D18:O18)</f>
        <v>1152.77</v>
      </c>
      <c r="D18" s="26"/>
      <c r="E18" s="26"/>
      <c r="F18" s="26">
        <v>150</v>
      </c>
      <c r="G18" s="26">
        <v>160.19999999999999</v>
      </c>
      <c r="H18" s="26"/>
      <c r="I18" s="26"/>
      <c r="J18" s="26"/>
      <c r="K18" s="26">
        <v>421.17</v>
      </c>
      <c r="L18" s="26"/>
      <c r="M18" s="26"/>
      <c r="N18" s="26">
        <v>421.4</v>
      </c>
      <c r="O18" s="26"/>
    </row>
    <row r="19" spans="1:15" x14ac:dyDescent="0.35">
      <c r="B19" s="1" t="s">
        <v>17</v>
      </c>
      <c r="C19" s="32">
        <f>SUM(D19:O19)</f>
        <v>126.5</v>
      </c>
      <c r="D19" s="26"/>
      <c r="E19" s="26"/>
      <c r="F19" s="26">
        <v>45</v>
      </c>
      <c r="G19" s="26"/>
      <c r="H19" s="26"/>
      <c r="I19" s="26"/>
      <c r="J19" s="26"/>
      <c r="K19" s="26">
        <v>35.75</v>
      </c>
      <c r="L19" s="26"/>
      <c r="M19" s="26"/>
      <c r="N19" s="26"/>
      <c r="O19" s="26">
        <v>45.75</v>
      </c>
    </row>
    <row r="20" spans="1:15" x14ac:dyDescent="0.35">
      <c r="C20" s="32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</row>
    <row r="21" spans="1:15" x14ac:dyDescent="0.35">
      <c r="A21" s="1" t="s">
        <v>56</v>
      </c>
      <c r="B21" s="1" t="s">
        <v>66</v>
      </c>
      <c r="C21" s="32">
        <f>SUM(D21:O21)</f>
        <v>0</v>
      </c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</row>
    <row r="22" spans="1:15" x14ac:dyDescent="0.35">
      <c r="B22" s="1" t="s">
        <v>264</v>
      </c>
      <c r="C22" s="32">
        <f>SUM(D22:O22)</f>
        <v>250</v>
      </c>
      <c r="D22" s="26"/>
      <c r="E22" s="26"/>
      <c r="F22" s="26"/>
      <c r="G22" s="26"/>
      <c r="H22" s="26"/>
      <c r="I22" s="26"/>
      <c r="J22" s="26"/>
      <c r="K22" s="26"/>
      <c r="L22" s="26">
        <v>250</v>
      </c>
      <c r="M22" s="26">
        <v>0</v>
      </c>
      <c r="N22" s="26"/>
      <c r="O22" s="26"/>
    </row>
    <row r="23" spans="1:15" x14ac:dyDescent="0.35">
      <c r="B23" s="1" t="s">
        <v>383</v>
      </c>
      <c r="C23" s="33">
        <f>SUM(D23:O23)</f>
        <v>0</v>
      </c>
      <c r="D23" s="29">
        <v>0</v>
      </c>
      <c r="E23" s="29">
        <v>0</v>
      </c>
      <c r="F23" s="29">
        <v>0</v>
      </c>
      <c r="G23" s="29">
        <v>0</v>
      </c>
      <c r="H23" s="29">
        <v>0</v>
      </c>
      <c r="I23" s="29">
        <v>0</v>
      </c>
      <c r="J23" s="29">
        <v>0</v>
      </c>
      <c r="K23" s="29">
        <v>0</v>
      </c>
      <c r="L23" s="29">
        <v>0</v>
      </c>
      <c r="M23" s="29">
        <v>0</v>
      </c>
      <c r="N23" s="29">
        <v>0</v>
      </c>
      <c r="O23" s="29">
        <v>0</v>
      </c>
    </row>
    <row r="24" spans="1:15" x14ac:dyDescent="0.35">
      <c r="A24" s="25" t="s">
        <v>24</v>
      </c>
      <c r="C24" s="34">
        <f t="shared" ref="C24:O24" si="2">SUM(C10:C23)</f>
        <v>10286.029999999999</v>
      </c>
      <c r="D24" s="30">
        <f t="shared" si="2"/>
        <v>58.5</v>
      </c>
      <c r="E24" s="30">
        <f t="shared" si="2"/>
        <v>1248.54</v>
      </c>
      <c r="F24" s="30">
        <f t="shared" si="2"/>
        <v>1427.24</v>
      </c>
      <c r="G24" s="30">
        <f t="shared" si="2"/>
        <v>1396.44</v>
      </c>
      <c r="H24" s="30">
        <f t="shared" si="2"/>
        <v>687.87</v>
      </c>
      <c r="I24" s="30">
        <f t="shared" si="2"/>
        <v>687.87</v>
      </c>
      <c r="J24" s="30">
        <f t="shared" si="2"/>
        <v>62.5</v>
      </c>
      <c r="K24" s="30">
        <f t="shared" si="2"/>
        <v>519.42000000000007</v>
      </c>
      <c r="L24" s="30">
        <f t="shared" si="2"/>
        <v>1928</v>
      </c>
      <c r="M24" s="30">
        <f t="shared" si="2"/>
        <v>1677.5</v>
      </c>
      <c r="N24" s="30">
        <f t="shared" si="2"/>
        <v>483.9</v>
      </c>
      <c r="O24" s="30">
        <f t="shared" si="2"/>
        <v>108.25</v>
      </c>
    </row>
    <row r="25" spans="1:15" x14ac:dyDescent="0.35">
      <c r="C25" s="32"/>
      <c r="D25" s="10"/>
      <c r="E25" s="10"/>
      <c r="F25" s="10"/>
    </row>
    <row r="26" spans="1:15" ht="16" thickBot="1" x14ac:dyDescent="0.4">
      <c r="A26" s="37" t="s">
        <v>50</v>
      </c>
      <c r="B26" s="42"/>
      <c r="C26" s="55">
        <f t="shared" ref="C26:O26" si="3">+C2+C7-C24</f>
        <v>23374.07</v>
      </c>
      <c r="D26" s="36">
        <f t="shared" si="3"/>
        <v>23101.599999999999</v>
      </c>
      <c r="E26" s="36">
        <f t="shared" si="3"/>
        <v>21853.059999999998</v>
      </c>
      <c r="F26" s="36">
        <f t="shared" si="3"/>
        <v>20425.819999999996</v>
      </c>
      <c r="G26" s="36">
        <f t="shared" si="3"/>
        <v>26154.379999999997</v>
      </c>
      <c r="H26" s="36">
        <f t="shared" si="3"/>
        <v>25841.51</v>
      </c>
      <c r="I26" s="36">
        <f t="shared" si="3"/>
        <v>25153.64</v>
      </c>
      <c r="J26" s="36">
        <f t="shared" si="3"/>
        <v>25091.14</v>
      </c>
      <c r="K26" s="36">
        <f t="shared" si="3"/>
        <v>24946.720000000001</v>
      </c>
      <c r="L26" s="36">
        <f t="shared" si="3"/>
        <v>23018.720000000001</v>
      </c>
      <c r="M26" s="36">
        <f t="shared" si="3"/>
        <v>21341.22</v>
      </c>
      <c r="N26" s="36">
        <f t="shared" si="3"/>
        <v>21607.32</v>
      </c>
      <c r="O26" s="36">
        <f t="shared" si="3"/>
        <v>23374.07</v>
      </c>
    </row>
    <row r="27" spans="1:15" x14ac:dyDescent="0.35">
      <c r="A27" s="3"/>
      <c r="B27" s="1" t="s">
        <v>75</v>
      </c>
      <c r="C27" s="102">
        <f>+C26-C28</f>
        <v>0</v>
      </c>
    </row>
    <row r="28" spans="1:15" x14ac:dyDescent="0.35">
      <c r="A28"/>
      <c r="B28" s="1" t="s">
        <v>74</v>
      </c>
      <c r="C28" s="23">
        <f>+'2018 Ck Reg'!M55</f>
        <v>23374.07</v>
      </c>
    </row>
    <row r="29" spans="1:15" x14ac:dyDescent="0.35">
      <c r="A29" s="31"/>
    </row>
    <row r="30" spans="1:15" x14ac:dyDescent="0.35">
      <c r="A30" s="1" t="s">
        <v>274</v>
      </c>
      <c r="B30" s="2"/>
      <c r="C30" s="281">
        <f>+C12</f>
        <v>8002.46</v>
      </c>
      <c r="D30" s="283">
        <f t="shared" ref="D30:D36" si="4">+C30/32</f>
        <v>250.076875</v>
      </c>
      <c r="E30" s="1"/>
    </row>
    <row r="31" spans="1:15" x14ac:dyDescent="0.35">
      <c r="A31" s="1" t="s">
        <v>275</v>
      </c>
      <c r="B31" s="2"/>
      <c r="C31" s="281">
        <f>+C13</f>
        <v>0</v>
      </c>
      <c r="D31" s="283">
        <f t="shared" si="4"/>
        <v>0</v>
      </c>
      <c r="E31" s="1"/>
    </row>
    <row r="32" spans="1:15" x14ac:dyDescent="0.35">
      <c r="A32" s="1" t="s">
        <v>276</v>
      </c>
      <c r="B32" s="2"/>
      <c r="C32" s="281">
        <f>+C14</f>
        <v>0</v>
      </c>
      <c r="D32" s="283">
        <f t="shared" si="4"/>
        <v>0</v>
      </c>
      <c r="E32" s="1"/>
    </row>
    <row r="33" spans="1:5" x14ac:dyDescent="0.35">
      <c r="A33" s="1" t="s">
        <v>4</v>
      </c>
      <c r="B33" s="2"/>
      <c r="C33" s="281">
        <f>+C10</f>
        <v>702</v>
      </c>
      <c r="D33" s="283">
        <f t="shared" si="4"/>
        <v>21.9375</v>
      </c>
      <c r="E33" s="1"/>
    </row>
    <row r="34" spans="1:5" x14ac:dyDescent="0.35">
      <c r="A34" s="1" t="s">
        <v>15</v>
      </c>
      <c r="B34" s="2"/>
      <c r="C34" s="281">
        <f>+C18+C19</f>
        <v>1279.27</v>
      </c>
      <c r="D34" s="283">
        <f t="shared" si="4"/>
        <v>39.977187499999999</v>
      </c>
      <c r="E34" s="1"/>
    </row>
    <row r="35" spans="1:5" x14ac:dyDescent="0.35">
      <c r="A35" s="1" t="s">
        <v>222</v>
      </c>
      <c r="B35" s="2"/>
      <c r="C35" s="282">
        <f>+C16+C22</f>
        <v>302.3</v>
      </c>
      <c r="D35" s="284">
        <f t="shared" si="4"/>
        <v>9.4468750000000004</v>
      </c>
      <c r="E35" s="1"/>
    </row>
    <row r="36" spans="1:5" x14ac:dyDescent="0.35">
      <c r="B36" s="2"/>
      <c r="C36" s="281">
        <f>SUM(C30:C35)</f>
        <v>10286.029999999999</v>
      </c>
      <c r="D36" s="23">
        <f t="shared" si="4"/>
        <v>321.43843749999996</v>
      </c>
      <c r="E36" s="1"/>
    </row>
  </sheetData>
  <mergeCells count="1">
    <mergeCell ref="A1:B1"/>
  </mergeCells>
  <conditionalFormatting sqref="C27:C28">
    <cfRule type="cellIs" dxfId="4" priority="1" operator="lessThan">
      <formula>0</formula>
    </cfRule>
  </conditionalFormatting>
  <pageMargins left="0.7" right="0.7" top="0.75" bottom="0.75" header="0.3" footer="0.3"/>
  <pageSetup scale="62" orientation="landscape" horizontalDpi="4294967293" r:id="rId1"/>
  <drawing r:id="rId2"/>
  <legacy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0000"/>
    <pageSetUpPr fitToPage="1"/>
  </sheetPr>
  <dimension ref="A1:X70"/>
  <sheetViews>
    <sheetView zoomScaleNormal="100" workbookViewId="0">
      <pane xSplit="1" ySplit="5" topLeftCell="B54" activePane="bottomRight" state="frozen"/>
      <selection pane="topRight" activeCell="B1" sqref="B1"/>
      <selection pane="bottomLeft" activeCell="A6" sqref="A6"/>
      <selection pane="bottomRight" activeCell="F55" sqref="F55"/>
    </sheetView>
  </sheetViews>
  <sheetFormatPr defaultRowHeight="14.5" x14ac:dyDescent="0.35"/>
  <cols>
    <col min="1" max="1" width="10" customWidth="1"/>
    <col min="2" max="2" width="11.6328125" customWidth="1"/>
    <col min="3" max="3" width="19.6328125" customWidth="1"/>
    <col min="4" max="4" width="8.6328125" customWidth="1"/>
    <col min="5" max="5" width="10.6328125" customWidth="1"/>
    <col min="6" max="12" width="9.6328125" customWidth="1"/>
    <col min="13" max="13" width="40" customWidth="1"/>
    <col min="14" max="14" width="10.08984375" bestFit="1" customWidth="1"/>
  </cols>
  <sheetData>
    <row r="1" spans="1:15" ht="18.5" x14ac:dyDescent="0.45">
      <c r="A1" s="110">
        <v>2019</v>
      </c>
      <c r="B1" s="110" t="s">
        <v>92</v>
      </c>
      <c r="M1" s="115" t="s">
        <v>111</v>
      </c>
      <c r="N1" s="101">
        <f>+'2018 Ck Reg'!M55</f>
        <v>23374.07</v>
      </c>
      <c r="O1" s="101">
        <f>+N2-N1</f>
        <v>0</v>
      </c>
    </row>
    <row r="2" spans="1:15" x14ac:dyDescent="0.35">
      <c r="A2" t="s">
        <v>1</v>
      </c>
      <c r="N2" s="112">
        <v>23374.07</v>
      </c>
    </row>
    <row r="3" spans="1:15" x14ac:dyDescent="0.35">
      <c r="N3" s="101"/>
    </row>
    <row r="4" spans="1:15" x14ac:dyDescent="0.35">
      <c r="A4" s="109" t="s">
        <v>196</v>
      </c>
      <c r="N4" s="101"/>
    </row>
    <row r="5" spans="1:15" x14ac:dyDescent="0.35">
      <c r="A5" s="108" t="s">
        <v>76</v>
      </c>
      <c r="B5" s="109" t="s">
        <v>77</v>
      </c>
      <c r="C5" s="109" t="s">
        <v>106</v>
      </c>
      <c r="D5" s="109" t="s">
        <v>254</v>
      </c>
      <c r="E5" s="108" t="s">
        <v>78</v>
      </c>
      <c r="F5" s="108" t="s">
        <v>94</v>
      </c>
      <c r="G5" s="108" t="s">
        <v>95</v>
      </c>
      <c r="H5" s="108" t="s">
        <v>79</v>
      </c>
      <c r="I5" s="108" t="s">
        <v>96</v>
      </c>
      <c r="J5" s="108" t="s">
        <v>80</v>
      </c>
      <c r="K5" s="108" t="s">
        <v>81</v>
      </c>
      <c r="L5" s="108" t="s">
        <v>82</v>
      </c>
      <c r="M5" s="108" t="s">
        <v>97</v>
      </c>
      <c r="N5" s="111" t="s">
        <v>93</v>
      </c>
    </row>
    <row r="6" spans="1:15" x14ac:dyDescent="0.35">
      <c r="A6" s="310" t="s">
        <v>258</v>
      </c>
      <c r="B6" s="101">
        <v>1125</v>
      </c>
      <c r="C6" s="101" t="s">
        <v>78</v>
      </c>
      <c r="D6" s="311" t="s">
        <v>259</v>
      </c>
      <c r="E6" s="101">
        <f>+B6</f>
        <v>1125</v>
      </c>
      <c r="F6" s="101"/>
      <c r="G6" s="101"/>
      <c r="H6" s="101"/>
      <c r="I6" s="101"/>
      <c r="J6" s="101"/>
      <c r="K6" s="101"/>
      <c r="L6" s="101"/>
      <c r="M6" s="101" t="s">
        <v>309</v>
      </c>
      <c r="N6" s="101">
        <f>+N2+SUM(E6:L6)</f>
        <v>24499.07</v>
      </c>
    </row>
    <row r="7" spans="1:15" x14ac:dyDescent="0.35">
      <c r="A7" s="105">
        <v>43468</v>
      </c>
      <c r="B7" s="101">
        <v>-4</v>
      </c>
      <c r="C7" s="101" t="s">
        <v>86</v>
      </c>
      <c r="D7" s="201" t="s">
        <v>154</v>
      </c>
      <c r="E7" s="101"/>
      <c r="F7" s="101"/>
      <c r="G7" s="101"/>
      <c r="H7" s="101"/>
      <c r="I7" s="101"/>
      <c r="J7" s="101">
        <f>+B7</f>
        <v>-4</v>
      </c>
      <c r="K7" s="101"/>
      <c r="L7" s="101"/>
      <c r="M7" s="101"/>
      <c r="N7" s="101">
        <f>+N6+SUM(E7:L7)</f>
        <v>24495.07</v>
      </c>
    </row>
    <row r="8" spans="1:15" x14ac:dyDescent="0.35">
      <c r="A8" s="105">
        <v>43488</v>
      </c>
      <c r="B8" s="101">
        <v>-58.5</v>
      </c>
      <c r="C8" s="101" t="s">
        <v>5</v>
      </c>
      <c r="D8" s="201" t="s">
        <v>154</v>
      </c>
      <c r="E8" s="101"/>
      <c r="F8" s="101">
        <f>+B8</f>
        <v>-58.5</v>
      </c>
      <c r="G8" s="101"/>
      <c r="H8" s="101"/>
      <c r="I8" s="101"/>
      <c r="J8" s="101"/>
      <c r="K8" s="101"/>
      <c r="L8" s="101"/>
      <c r="M8" s="101"/>
      <c r="N8" s="101">
        <f>+N7+SUM(E8:L8)</f>
        <v>24436.57</v>
      </c>
    </row>
    <row r="9" spans="1:15" x14ac:dyDescent="0.35">
      <c r="A9" s="105">
        <v>43493</v>
      </c>
      <c r="B9" s="101">
        <v>-1615.5</v>
      </c>
      <c r="C9" s="101" t="s">
        <v>88</v>
      </c>
      <c r="D9" s="201">
        <v>98</v>
      </c>
      <c r="E9" s="101"/>
      <c r="F9" s="101"/>
      <c r="G9" s="101">
        <f>+B9</f>
        <v>-1615.5</v>
      </c>
      <c r="H9" s="101"/>
      <c r="I9" s="101"/>
      <c r="J9" s="101"/>
      <c r="K9" s="101"/>
      <c r="L9" s="101"/>
      <c r="M9" s="101" t="s">
        <v>146</v>
      </c>
      <c r="N9" s="101">
        <f>+N8+SUM(E9:L9)</f>
        <v>22821.07</v>
      </c>
    </row>
    <row r="10" spans="1:15" x14ac:dyDescent="0.35">
      <c r="A10" s="105">
        <v>43500</v>
      </c>
      <c r="B10" s="101">
        <v>-4</v>
      </c>
      <c r="C10" s="101" t="s">
        <v>86</v>
      </c>
      <c r="D10" s="201" t="s">
        <v>154</v>
      </c>
      <c r="E10" s="101"/>
      <c r="F10" s="101"/>
      <c r="G10" s="101"/>
      <c r="H10" s="101"/>
      <c r="I10" s="101"/>
      <c r="J10" s="101">
        <f>+B10</f>
        <v>-4</v>
      </c>
      <c r="K10" s="101"/>
      <c r="L10" s="101"/>
      <c r="M10" s="101"/>
      <c r="N10" s="101">
        <f t="shared" ref="N10:N31" si="0">+N9+SUM(E10:L10)</f>
        <v>22817.07</v>
      </c>
    </row>
    <row r="11" spans="1:15" x14ac:dyDescent="0.35">
      <c r="A11" s="105">
        <v>43518</v>
      </c>
      <c r="B11" s="101">
        <v>-58.5</v>
      </c>
      <c r="C11" s="101" t="s">
        <v>5</v>
      </c>
      <c r="D11" s="201" t="s">
        <v>154</v>
      </c>
      <c r="E11" s="101"/>
      <c r="F11" s="101">
        <f>+B11</f>
        <v>-58.5</v>
      </c>
      <c r="G11" s="101"/>
      <c r="H11" s="101"/>
      <c r="I11" s="101"/>
      <c r="J11" s="101"/>
      <c r="K11" s="101"/>
      <c r="L11" s="101"/>
      <c r="M11" s="101"/>
      <c r="N11" s="112">
        <f t="shared" si="0"/>
        <v>22758.57</v>
      </c>
    </row>
    <row r="12" spans="1:15" x14ac:dyDescent="0.35">
      <c r="A12" s="105">
        <v>43528</v>
      </c>
      <c r="B12" s="101">
        <v>2250</v>
      </c>
      <c r="C12" s="101" t="s">
        <v>78</v>
      </c>
      <c r="D12" s="311" t="s">
        <v>259</v>
      </c>
      <c r="E12" s="101">
        <f>+B12</f>
        <v>2250</v>
      </c>
      <c r="F12" s="101"/>
      <c r="G12" s="101"/>
      <c r="H12" s="101"/>
      <c r="I12" s="101"/>
      <c r="J12" s="101"/>
      <c r="K12" s="101"/>
      <c r="L12" s="101"/>
      <c r="M12" s="101"/>
      <c r="N12" s="101">
        <f t="shared" si="0"/>
        <v>25008.57</v>
      </c>
    </row>
    <row r="13" spans="1:15" x14ac:dyDescent="0.35">
      <c r="A13" s="105">
        <v>43528</v>
      </c>
      <c r="B13" s="101">
        <v>-4</v>
      </c>
      <c r="C13" s="101" t="s">
        <v>86</v>
      </c>
      <c r="D13" s="201" t="s">
        <v>154</v>
      </c>
      <c r="E13" s="101"/>
      <c r="F13" s="101"/>
      <c r="G13" s="101"/>
      <c r="H13" s="101"/>
      <c r="I13" s="101"/>
      <c r="J13" s="101">
        <f>+B13</f>
        <v>-4</v>
      </c>
      <c r="K13" s="101"/>
      <c r="L13" s="101"/>
      <c r="M13" s="101"/>
      <c r="N13" s="101">
        <f t="shared" si="0"/>
        <v>25004.57</v>
      </c>
    </row>
    <row r="14" spans="1:15" x14ac:dyDescent="0.35">
      <c r="A14" s="105">
        <v>43535</v>
      </c>
      <c r="B14" s="101">
        <v>2250</v>
      </c>
      <c r="C14" s="101" t="s">
        <v>78</v>
      </c>
      <c r="D14" s="311" t="s">
        <v>259</v>
      </c>
      <c r="E14" s="101">
        <f>+B14</f>
        <v>2250</v>
      </c>
      <c r="F14" s="101"/>
      <c r="G14" s="101"/>
      <c r="H14" s="101"/>
      <c r="I14" s="101"/>
      <c r="J14" s="101"/>
      <c r="K14" s="101"/>
      <c r="L14" s="101"/>
      <c r="M14" s="101"/>
      <c r="N14" s="101">
        <f t="shared" si="0"/>
        <v>27254.57</v>
      </c>
    </row>
    <row r="15" spans="1:15" x14ac:dyDescent="0.35">
      <c r="A15" s="105">
        <v>43536</v>
      </c>
      <c r="B15" s="101">
        <v>1125</v>
      </c>
      <c r="C15" s="101" t="s">
        <v>78</v>
      </c>
      <c r="D15" s="311" t="s">
        <v>259</v>
      </c>
      <c r="E15" s="101">
        <f>+B15</f>
        <v>1125</v>
      </c>
      <c r="F15" s="101"/>
      <c r="G15" s="101"/>
      <c r="H15" s="101"/>
      <c r="I15" s="101"/>
      <c r="J15" s="101"/>
      <c r="K15" s="101"/>
      <c r="L15" s="101"/>
      <c r="M15" s="101"/>
      <c r="N15" s="101">
        <f t="shared" si="0"/>
        <v>28379.57</v>
      </c>
    </row>
    <row r="16" spans="1:15" x14ac:dyDescent="0.35">
      <c r="A16" s="105">
        <v>43546</v>
      </c>
      <c r="B16" s="101">
        <v>-58.5</v>
      </c>
      <c r="C16" s="101" t="s">
        <v>5</v>
      </c>
      <c r="D16" s="201" t="s">
        <v>154</v>
      </c>
      <c r="E16" s="101"/>
      <c r="F16" s="101">
        <f>+B16</f>
        <v>-58.5</v>
      </c>
      <c r="G16" s="101"/>
      <c r="H16" s="101"/>
      <c r="I16" s="101"/>
      <c r="J16" s="101"/>
      <c r="K16" s="101"/>
      <c r="L16" s="101"/>
      <c r="M16" s="101"/>
      <c r="N16" s="101">
        <f t="shared" si="0"/>
        <v>28321.07</v>
      </c>
    </row>
    <row r="17" spans="1:24" x14ac:dyDescent="0.35">
      <c r="A17" s="105">
        <v>43550</v>
      </c>
      <c r="B17" s="101">
        <v>3000</v>
      </c>
      <c r="C17" s="101" t="s">
        <v>78</v>
      </c>
      <c r="D17" s="311" t="s">
        <v>259</v>
      </c>
      <c r="E17" s="101">
        <f>+B17</f>
        <v>3000</v>
      </c>
      <c r="F17" s="101"/>
      <c r="G17" s="101"/>
      <c r="H17" s="101"/>
      <c r="I17" s="101"/>
      <c r="J17" s="101"/>
      <c r="K17" s="101"/>
      <c r="L17" s="101"/>
      <c r="M17" s="101"/>
      <c r="N17" s="101">
        <f t="shared" si="0"/>
        <v>31321.07</v>
      </c>
    </row>
    <row r="18" spans="1:24" x14ac:dyDescent="0.35">
      <c r="A18" s="105">
        <v>43551</v>
      </c>
      <c r="B18" s="101">
        <v>-45.5</v>
      </c>
      <c r="C18" s="101" t="s">
        <v>85</v>
      </c>
      <c r="D18" s="201">
        <v>1000010</v>
      </c>
      <c r="E18" s="101"/>
      <c r="F18" s="101"/>
      <c r="G18" s="101"/>
      <c r="H18" s="101"/>
      <c r="I18" s="101">
        <f>+B18</f>
        <v>-45.5</v>
      </c>
      <c r="J18" s="101"/>
      <c r="K18" s="101"/>
      <c r="L18" s="101"/>
      <c r="M18" s="101"/>
      <c r="N18" s="112">
        <f t="shared" si="0"/>
        <v>31275.57</v>
      </c>
    </row>
    <row r="19" spans="1:24" x14ac:dyDescent="0.35">
      <c r="A19" s="105">
        <v>43556</v>
      </c>
      <c r="B19" s="101">
        <v>3375</v>
      </c>
      <c r="C19" s="101" t="s">
        <v>78</v>
      </c>
      <c r="D19" s="311" t="s">
        <v>259</v>
      </c>
      <c r="E19" s="101">
        <f>+B19</f>
        <v>3375</v>
      </c>
      <c r="F19" s="101"/>
      <c r="G19" s="101"/>
      <c r="H19" s="101"/>
      <c r="I19" s="101"/>
      <c r="J19" s="101"/>
      <c r="K19" s="101"/>
      <c r="L19" s="101"/>
      <c r="M19" s="101"/>
      <c r="N19" s="101">
        <f t="shared" si="0"/>
        <v>34650.57</v>
      </c>
    </row>
    <row r="20" spans="1:24" x14ac:dyDescent="0.35">
      <c r="A20" s="105">
        <v>43557</v>
      </c>
      <c r="B20" s="101">
        <v>-4</v>
      </c>
      <c r="C20" s="101" t="s">
        <v>86</v>
      </c>
      <c r="D20" s="201" t="s">
        <v>154</v>
      </c>
      <c r="E20" s="101"/>
      <c r="F20" s="101"/>
      <c r="G20" s="101"/>
      <c r="H20" s="101"/>
      <c r="I20" s="101"/>
      <c r="J20" s="101">
        <f>+B20</f>
        <v>-4</v>
      </c>
      <c r="K20" s="101"/>
      <c r="L20" s="101"/>
      <c r="M20" s="101"/>
      <c r="N20" s="101">
        <f t="shared" si="0"/>
        <v>34646.57</v>
      </c>
    </row>
    <row r="21" spans="1:24" x14ac:dyDescent="0.35">
      <c r="A21" s="105">
        <v>43579</v>
      </c>
      <c r="B21" s="101">
        <v>-58.5</v>
      </c>
      <c r="C21" s="101" t="s">
        <v>5</v>
      </c>
      <c r="D21" s="201" t="s">
        <v>154</v>
      </c>
      <c r="E21" s="101"/>
      <c r="F21" s="101">
        <f>+B21</f>
        <v>-58.5</v>
      </c>
      <c r="G21" s="101"/>
      <c r="H21" s="101"/>
      <c r="I21" s="101"/>
      <c r="J21" s="101"/>
      <c r="K21" s="101"/>
      <c r="L21" s="101"/>
      <c r="M21" s="101"/>
      <c r="N21" s="112">
        <f t="shared" si="0"/>
        <v>34588.07</v>
      </c>
    </row>
    <row r="22" spans="1:24" x14ac:dyDescent="0.35">
      <c r="A22" s="105">
        <v>43587</v>
      </c>
      <c r="B22" s="101">
        <v>-4</v>
      </c>
      <c r="C22" s="101" t="s">
        <v>86</v>
      </c>
      <c r="D22" s="201" t="s">
        <v>154</v>
      </c>
      <c r="E22" s="101"/>
      <c r="F22" s="101"/>
      <c r="G22" s="101"/>
      <c r="H22" s="101"/>
      <c r="I22" s="101"/>
      <c r="J22" s="101">
        <f>+B22</f>
        <v>-4</v>
      </c>
      <c r="K22" s="101"/>
      <c r="L22" s="101"/>
      <c r="M22" s="101"/>
      <c r="N22" s="101">
        <f t="shared" si="0"/>
        <v>34584.07</v>
      </c>
    </row>
    <row r="23" spans="1:24" x14ac:dyDescent="0.35">
      <c r="A23" s="105">
        <v>43607</v>
      </c>
      <c r="B23" s="101">
        <v>-58.5</v>
      </c>
      <c r="C23" s="101" t="s">
        <v>5</v>
      </c>
      <c r="D23" s="201" t="s">
        <v>154</v>
      </c>
      <c r="E23" s="101"/>
      <c r="F23" s="101">
        <f>+B23</f>
        <v>-58.5</v>
      </c>
      <c r="G23" s="101"/>
      <c r="H23" s="101"/>
      <c r="I23" s="101"/>
      <c r="J23" s="101"/>
      <c r="K23" s="101"/>
      <c r="L23" s="101"/>
      <c r="M23" s="101"/>
      <c r="N23" s="112">
        <f t="shared" si="0"/>
        <v>34525.57</v>
      </c>
    </row>
    <row r="24" spans="1:24" x14ac:dyDescent="0.35">
      <c r="A24" s="105">
        <v>43620</v>
      </c>
      <c r="B24" s="101">
        <v>-4</v>
      </c>
      <c r="C24" s="101" t="s">
        <v>86</v>
      </c>
      <c r="D24" s="201" t="s">
        <v>154</v>
      </c>
      <c r="E24" s="101"/>
      <c r="F24" s="101"/>
      <c r="G24" s="101"/>
      <c r="H24" s="101"/>
      <c r="I24" s="101"/>
      <c r="J24" s="101">
        <f>+B24</f>
        <v>-4</v>
      </c>
      <c r="K24" s="101"/>
      <c r="L24" s="101"/>
      <c r="M24" s="101"/>
      <c r="N24" s="101">
        <f t="shared" si="0"/>
        <v>34521.57</v>
      </c>
    </row>
    <row r="25" spans="1:24" x14ac:dyDescent="0.35">
      <c r="A25" s="105">
        <v>43640</v>
      </c>
      <c r="B25" s="101">
        <v>-58.5</v>
      </c>
      <c r="C25" s="101" t="s">
        <v>5</v>
      </c>
      <c r="D25" s="201" t="s">
        <v>154</v>
      </c>
      <c r="E25" s="101"/>
      <c r="F25" s="101">
        <f>+B25</f>
        <v>-58.5</v>
      </c>
      <c r="G25" s="101"/>
      <c r="H25" s="101"/>
      <c r="I25" s="101"/>
      <c r="J25" s="101"/>
      <c r="K25" s="101"/>
      <c r="L25" s="101"/>
      <c r="M25" s="101"/>
      <c r="N25" s="101">
        <f t="shared" si="0"/>
        <v>34463.07</v>
      </c>
    </row>
    <row r="26" spans="1:24" x14ac:dyDescent="0.35">
      <c r="A26" s="105">
        <v>43642</v>
      </c>
      <c r="B26" s="101">
        <v>-2826.75</v>
      </c>
      <c r="C26" s="101" t="s">
        <v>88</v>
      </c>
      <c r="D26" s="201">
        <v>99</v>
      </c>
      <c r="E26" s="101"/>
      <c r="F26" s="101"/>
      <c r="G26" s="101">
        <f>+B26</f>
        <v>-2826.75</v>
      </c>
      <c r="H26" s="101"/>
      <c r="I26" s="101"/>
      <c r="J26" s="101"/>
      <c r="K26" s="101"/>
      <c r="L26" s="101"/>
      <c r="M26" s="101" t="s">
        <v>91</v>
      </c>
      <c r="N26" s="112">
        <f t="shared" si="0"/>
        <v>31636.32</v>
      </c>
    </row>
    <row r="27" spans="1:24" x14ac:dyDescent="0.35">
      <c r="A27" s="105">
        <v>43647</v>
      </c>
      <c r="B27" s="101">
        <v>-4</v>
      </c>
      <c r="C27" s="101" t="s">
        <v>86</v>
      </c>
      <c r="D27" s="201" t="s">
        <v>154</v>
      </c>
      <c r="E27" s="101"/>
      <c r="F27" s="101"/>
      <c r="G27" s="101"/>
      <c r="H27" s="101"/>
      <c r="I27" s="101"/>
      <c r="J27" s="101">
        <f>+B27</f>
        <v>-4</v>
      </c>
      <c r="K27" s="101"/>
      <c r="L27" s="101"/>
      <c r="M27" s="101"/>
      <c r="N27" s="101">
        <f t="shared" si="0"/>
        <v>31632.32</v>
      </c>
    </row>
    <row r="28" spans="1:24" x14ac:dyDescent="0.35">
      <c r="A28" s="105">
        <v>43670</v>
      </c>
      <c r="B28" s="101">
        <v>-58.5</v>
      </c>
      <c r="C28" s="101" t="s">
        <v>5</v>
      </c>
      <c r="D28" s="201" t="s">
        <v>154</v>
      </c>
      <c r="E28" s="101"/>
      <c r="F28" s="101">
        <f>+B28</f>
        <v>-58.5</v>
      </c>
      <c r="G28" s="101"/>
      <c r="H28" s="101"/>
      <c r="I28" s="101"/>
      <c r="J28" s="101"/>
      <c r="K28" s="101"/>
      <c r="L28" s="101"/>
      <c r="M28" s="101"/>
      <c r="N28" s="112">
        <f t="shared" si="0"/>
        <v>31573.82</v>
      </c>
    </row>
    <row r="29" spans="1:24" x14ac:dyDescent="0.35">
      <c r="A29" s="105">
        <v>43678</v>
      </c>
      <c r="B29" s="101">
        <v>-4</v>
      </c>
      <c r="C29" s="101" t="s">
        <v>86</v>
      </c>
      <c r="D29" s="201" t="s">
        <v>154</v>
      </c>
      <c r="E29" s="101"/>
      <c r="F29" s="101"/>
      <c r="G29" s="101"/>
      <c r="H29" s="101"/>
      <c r="I29" s="101"/>
      <c r="J29" s="101">
        <f>+B29</f>
        <v>-4</v>
      </c>
      <c r="K29" s="101"/>
      <c r="L29" s="101"/>
      <c r="M29" s="101"/>
      <c r="N29" s="101">
        <f t="shared" si="0"/>
        <v>31569.82</v>
      </c>
    </row>
    <row r="30" spans="1:24" x14ac:dyDescent="0.35">
      <c r="A30" s="105">
        <v>43699</v>
      </c>
      <c r="B30" s="101">
        <v>-58.5</v>
      </c>
      <c r="C30" s="101" t="s">
        <v>5</v>
      </c>
      <c r="D30" s="201" t="s">
        <v>154</v>
      </c>
      <c r="E30" s="101"/>
      <c r="F30" s="101">
        <f>+B30</f>
        <v>-58.5</v>
      </c>
      <c r="G30" s="101"/>
      <c r="H30" s="101"/>
      <c r="I30" s="101"/>
      <c r="J30" s="101"/>
      <c r="K30" s="101"/>
      <c r="L30" s="101"/>
      <c r="M30" s="101"/>
      <c r="N30" s="112">
        <f t="shared" si="0"/>
        <v>31511.32</v>
      </c>
    </row>
    <row r="31" spans="1:24" x14ac:dyDescent="0.35">
      <c r="A31" s="105">
        <v>43711</v>
      </c>
      <c r="B31" s="101">
        <v>-4</v>
      </c>
      <c r="C31" s="101" t="s">
        <v>86</v>
      </c>
      <c r="D31" s="201" t="s">
        <v>154</v>
      </c>
      <c r="E31" s="107"/>
      <c r="F31" s="107"/>
      <c r="G31" s="107"/>
      <c r="H31" s="107"/>
      <c r="I31" s="107"/>
      <c r="J31" s="101">
        <f>+B31</f>
        <v>-4</v>
      </c>
      <c r="K31" s="107"/>
      <c r="L31" s="107"/>
      <c r="M31" s="101" t="s">
        <v>100</v>
      </c>
      <c r="N31" s="101">
        <f t="shared" si="0"/>
        <v>31507.32</v>
      </c>
    </row>
    <row r="32" spans="1:24" x14ac:dyDescent="0.35">
      <c r="A32" s="105">
        <v>43732</v>
      </c>
      <c r="B32" s="101">
        <v>-58.5</v>
      </c>
      <c r="C32" s="101" t="s">
        <v>5</v>
      </c>
      <c r="D32" s="201" t="s">
        <v>154</v>
      </c>
      <c r="E32" s="101"/>
      <c r="F32" s="101">
        <f>+B32</f>
        <v>-58.5</v>
      </c>
      <c r="G32" s="101"/>
      <c r="H32" s="101"/>
      <c r="I32" s="101"/>
      <c r="J32" s="101"/>
      <c r="K32" s="101"/>
      <c r="L32" s="101"/>
      <c r="M32" s="101"/>
      <c r="N32" s="101">
        <f t="shared" ref="N32:N65" si="1">+N31+SUM(E32:L32)</f>
        <v>31448.82</v>
      </c>
      <c r="O32" s="101"/>
      <c r="P32" s="101"/>
      <c r="Q32" s="101"/>
      <c r="R32" s="101"/>
      <c r="S32" s="101"/>
      <c r="T32" s="101"/>
      <c r="U32" s="101"/>
      <c r="V32" s="101"/>
      <c r="W32" s="101"/>
      <c r="X32" s="112"/>
    </row>
    <row r="33" spans="1:14" x14ac:dyDescent="0.35">
      <c r="A33" s="105">
        <v>43733</v>
      </c>
      <c r="B33" s="101">
        <v>-20</v>
      </c>
      <c r="C33" s="101" t="s">
        <v>86</v>
      </c>
      <c r="D33" s="201" t="s">
        <v>154</v>
      </c>
      <c r="E33" s="107"/>
      <c r="F33" s="107"/>
      <c r="G33" s="107"/>
      <c r="H33" s="107"/>
      <c r="I33" s="107"/>
      <c r="J33" s="101">
        <f>+B33</f>
        <v>-20</v>
      </c>
      <c r="K33" s="107"/>
      <c r="L33" s="107"/>
      <c r="M33" s="101" t="s">
        <v>202</v>
      </c>
      <c r="N33" s="101">
        <f t="shared" si="1"/>
        <v>31428.82</v>
      </c>
    </row>
    <row r="34" spans="1:14" x14ac:dyDescent="0.35">
      <c r="A34" s="105">
        <v>43733</v>
      </c>
      <c r="B34" s="101">
        <v>-11</v>
      </c>
      <c r="C34" s="101" t="s">
        <v>105</v>
      </c>
      <c r="D34" s="201">
        <v>1028</v>
      </c>
      <c r="E34" s="107"/>
      <c r="F34" s="107"/>
      <c r="G34" s="107"/>
      <c r="H34" s="107"/>
      <c r="I34" s="107"/>
      <c r="J34" s="107"/>
      <c r="K34" s="107"/>
      <c r="L34" s="101">
        <f>+B34</f>
        <v>-11</v>
      </c>
      <c r="M34" s="101" t="s">
        <v>116</v>
      </c>
      <c r="N34" s="101">
        <f t="shared" si="1"/>
        <v>31417.82</v>
      </c>
    </row>
    <row r="35" spans="1:14" x14ac:dyDescent="0.35">
      <c r="A35" s="105">
        <v>43735</v>
      </c>
      <c r="B35" s="101">
        <v>-47.99</v>
      </c>
      <c r="C35" s="101" t="s">
        <v>85</v>
      </c>
      <c r="D35" s="201" t="s">
        <v>154</v>
      </c>
      <c r="E35" s="101"/>
      <c r="F35" s="101"/>
      <c r="G35" s="101"/>
      <c r="H35" s="101"/>
      <c r="I35" s="101">
        <f>+B35</f>
        <v>-47.99</v>
      </c>
      <c r="J35" s="101"/>
      <c r="K35" s="101"/>
      <c r="L35" s="101"/>
      <c r="M35" s="101" t="s">
        <v>203</v>
      </c>
      <c r="N35" s="101">
        <f t="shared" si="1"/>
        <v>31369.829999999998</v>
      </c>
    </row>
    <row r="36" spans="1:14" x14ac:dyDescent="0.35">
      <c r="A36" s="105">
        <v>43735</v>
      </c>
      <c r="B36" s="101">
        <v>-1529.84</v>
      </c>
      <c r="C36" s="101" t="s">
        <v>237</v>
      </c>
      <c r="D36" s="201">
        <v>1027</v>
      </c>
      <c r="E36" s="101"/>
      <c r="F36" s="101"/>
      <c r="G36" s="101"/>
      <c r="H36" s="101"/>
      <c r="I36" s="101"/>
      <c r="J36" s="101"/>
      <c r="K36" s="101"/>
      <c r="L36" s="101">
        <f>+B36</f>
        <v>-1529.84</v>
      </c>
      <c r="M36" s="101" t="s">
        <v>138</v>
      </c>
      <c r="N36" s="112">
        <f t="shared" si="1"/>
        <v>29839.989999999998</v>
      </c>
    </row>
    <row r="37" spans="1:14" x14ac:dyDescent="0.35">
      <c r="A37" s="105">
        <v>43739</v>
      </c>
      <c r="B37" s="101">
        <v>-2750</v>
      </c>
      <c r="C37" s="101" t="s">
        <v>255</v>
      </c>
      <c r="D37" s="201">
        <v>1029</v>
      </c>
      <c r="E37" s="101"/>
      <c r="F37" s="101"/>
      <c r="G37" s="101">
        <f>+B37</f>
        <v>-2750</v>
      </c>
      <c r="H37" s="101"/>
      <c r="I37" s="101"/>
      <c r="J37" s="101"/>
      <c r="K37" s="101"/>
      <c r="L37" s="101"/>
      <c r="M37" s="101" t="s">
        <v>256</v>
      </c>
      <c r="N37" s="101">
        <f t="shared" si="1"/>
        <v>27089.989999999998</v>
      </c>
    </row>
    <row r="38" spans="1:14" x14ac:dyDescent="0.35">
      <c r="A38" s="105">
        <v>43739</v>
      </c>
      <c r="B38" s="101">
        <v>-4</v>
      </c>
      <c r="C38" s="101" t="s">
        <v>86</v>
      </c>
      <c r="D38" s="201" t="s">
        <v>154</v>
      </c>
      <c r="E38" s="101"/>
      <c r="F38" s="101"/>
      <c r="G38" s="101"/>
      <c r="H38" s="101"/>
      <c r="I38" s="101"/>
      <c r="J38" s="101">
        <f>+B38</f>
        <v>-4</v>
      </c>
      <c r="K38" s="101"/>
      <c r="L38" s="101"/>
      <c r="M38" s="101"/>
      <c r="N38" s="101">
        <f t="shared" si="1"/>
        <v>27085.989999999998</v>
      </c>
    </row>
    <row r="39" spans="1:14" x14ac:dyDescent="0.35">
      <c r="A39" s="105">
        <v>43746</v>
      </c>
      <c r="B39" s="101">
        <v>-171.9</v>
      </c>
      <c r="C39" s="101" t="s">
        <v>204</v>
      </c>
      <c r="D39" s="201">
        <v>1031</v>
      </c>
      <c r="E39" s="101"/>
      <c r="F39" s="101"/>
      <c r="G39" s="101"/>
      <c r="H39" s="101"/>
      <c r="I39" s="101"/>
      <c r="J39" s="101"/>
      <c r="K39" s="101"/>
      <c r="L39" s="101">
        <f t="shared" ref="L39:L51" si="2">+B39</f>
        <v>-171.9</v>
      </c>
      <c r="M39" s="101" t="s">
        <v>205</v>
      </c>
      <c r="N39" s="101">
        <f t="shared" si="1"/>
        <v>26914.089999999997</v>
      </c>
    </row>
    <row r="40" spans="1:14" x14ac:dyDescent="0.35">
      <c r="A40" s="105">
        <v>43746</v>
      </c>
      <c r="B40" s="101">
        <v>-20</v>
      </c>
      <c r="C40" s="101" t="s">
        <v>206</v>
      </c>
      <c r="D40" s="201">
        <v>1032</v>
      </c>
      <c r="E40" s="101"/>
      <c r="F40" s="101"/>
      <c r="G40" s="101"/>
      <c r="H40" s="101"/>
      <c r="I40" s="101"/>
      <c r="J40" s="101"/>
      <c r="K40" s="101"/>
      <c r="L40" s="101">
        <f t="shared" si="2"/>
        <v>-20</v>
      </c>
      <c r="M40" s="101" t="s">
        <v>207</v>
      </c>
      <c r="N40" s="101">
        <f t="shared" si="1"/>
        <v>26894.089999999997</v>
      </c>
    </row>
    <row r="41" spans="1:14" x14ac:dyDescent="0.35">
      <c r="A41" s="105">
        <v>43746</v>
      </c>
      <c r="B41" s="101">
        <v>-152.54</v>
      </c>
      <c r="C41" s="101" t="s">
        <v>206</v>
      </c>
      <c r="D41" s="201">
        <v>1033</v>
      </c>
      <c r="E41" s="101"/>
      <c r="F41" s="101"/>
      <c r="G41" s="101"/>
      <c r="H41" s="101"/>
      <c r="I41" s="101"/>
      <c r="J41" s="101"/>
      <c r="K41" s="101"/>
      <c r="L41" s="101">
        <f t="shared" si="2"/>
        <v>-152.54</v>
      </c>
      <c r="M41" s="101" t="s">
        <v>208</v>
      </c>
      <c r="N41" s="101">
        <f t="shared" si="1"/>
        <v>26741.549999999996</v>
      </c>
    </row>
    <row r="42" spans="1:14" x14ac:dyDescent="0.35">
      <c r="A42" s="105">
        <v>43746</v>
      </c>
      <c r="B42" s="101">
        <v>0</v>
      </c>
      <c r="C42" s="101" t="s">
        <v>257</v>
      </c>
      <c r="D42" s="201">
        <v>1034</v>
      </c>
      <c r="E42" s="101"/>
      <c r="F42" s="101"/>
      <c r="G42" s="101"/>
      <c r="H42" s="101"/>
      <c r="I42" s="101"/>
      <c r="J42" s="101"/>
      <c r="K42" s="101"/>
      <c r="L42" s="101"/>
      <c r="M42" s="101"/>
      <c r="N42" s="101">
        <f t="shared" si="1"/>
        <v>26741.549999999996</v>
      </c>
    </row>
    <row r="43" spans="1:14" x14ac:dyDescent="0.35">
      <c r="A43" s="105">
        <v>43746</v>
      </c>
      <c r="B43" s="101">
        <v>-2500</v>
      </c>
      <c r="C43" s="101" t="s">
        <v>235</v>
      </c>
      <c r="D43" s="201">
        <v>1035</v>
      </c>
      <c r="E43" s="101"/>
      <c r="F43" s="101"/>
      <c r="G43" s="101"/>
      <c r="H43" s="101"/>
      <c r="I43" s="101"/>
      <c r="J43" s="101"/>
      <c r="K43" s="101"/>
      <c r="L43" s="101">
        <f t="shared" si="2"/>
        <v>-2500</v>
      </c>
      <c r="M43" s="101" t="s">
        <v>239</v>
      </c>
      <c r="N43" s="101">
        <f t="shared" si="1"/>
        <v>24241.549999999996</v>
      </c>
    </row>
    <row r="44" spans="1:14" x14ac:dyDescent="0.35">
      <c r="A44" s="105">
        <v>43746</v>
      </c>
      <c r="B44" s="101">
        <v>-295.24</v>
      </c>
      <c r="C44" s="101" t="s">
        <v>241</v>
      </c>
      <c r="D44" s="201">
        <v>1037</v>
      </c>
      <c r="E44" s="101"/>
      <c r="F44" s="101"/>
      <c r="G44" s="101"/>
      <c r="H44" s="101"/>
      <c r="I44" s="101"/>
      <c r="J44" s="101"/>
      <c r="K44" s="101"/>
      <c r="L44" s="101">
        <f>+B44</f>
        <v>-295.24</v>
      </c>
      <c r="M44" s="101" t="s">
        <v>242</v>
      </c>
      <c r="N44" s="101">
        <f t="shared" si="1"/>
        <v>23946.309999999994</v>
      </c>
    </row>
    <row r="45" spans="1:14" x14ac:dyDescent="0.35">
      <c r="A45" s="105">
        <v>43753</v>
      </c>
      <c r="B45" s="101">
        <v>-203</v>
      </c>
      <c r="C45" s="101" t="s">
        <v>240</v>
      </c>
      <c r="D45" s="201">
        <v>1026</v>
      </c>
      <c r="E45" s="101"/>
      <c r="F45" s="101"/>
      <c r="G45" s="101"/>
      <c r="H45" s="101">
        <f>+B45</f>
        <v>-203</v>
      </c>
      <c r="I45" s="101"/>
      <c r="J45" s="101"/>
      <c r="K45" s="101"/>
      <c r="L45" s="101"/>
      <c r="M45" s="101" t="s">
        <v>311</v>
      </c>
      <c r="N45" s="101">
        <f t="shared" si="1"/>
        <v>23743.309999999994</v>
      </c>
    </row>
    <row r="46" spans="1:14" x14ac:dyDescent="0.35">
      <c r="A46" s="105">
        <v>43754</v>
      </c>
      <c r="B46" s="101">
        <v>-156</v>
      </c>
      <c r="C46" s="101" t="s">
        <v>240</v>
      </c>
      <c r="D46" s="201">
        <v>1030</v>
      </c>
      <c r="E46" s="101"/>
      <c r="F46" s="101"/>
      <c r="G46" s="101"/>
      <c r="H46" s="101"/>
      <c r="I46" s="101"/>
      <c r="J46" s="101"/>
      <c r="K46" s="101"/>
      <c r="L46" s="101">
        <f>+B46</f>
        <v>-156</v>
      </c>
      <c r="M46" s="101" t="s">
        <v>252</v>
      </c>
      <c r="N46" s="101">
        <f t="shared" si="1"/>
        <v>23587.309999999994</v>
      </c>
    </row>
    <row r="47" spans="1:14" x14ac:dyDescent="0.35">
      <c r="A47" s="105">
        <v>43753</v>
      </c>
      <c r="B47" s="101">
        <v>-60.34</v>
      </c>
      <c r="C47" s="101" t="s">
        <v>240</v>
      </c>
      <c r="D47" s="201">
        <v>1036</v>
      </c>
      <c r="E47" s="101"/>
      <c r="F47" s="101"/>
      <c r="G47" s="101"/>
      <c r="H47" s="101">
        <f>+B47</f>
        <v>-60.34</v>
      </c>
      <c r="I47" s="101"/>
      <c r="J47" s="101"/>
      <c r="K47" s="101"/>
      <c r="L47" s="101"/>
      <c r="M47" s="101" t="s">
        <v>311</v>
      </c>
      <c r="N47" s="101">
        <f t="shared" si="1"/>
        <v>23526.969999999994</v>
      </c>
    </row>
    <row r="48" spans="1:14" x14ac:dyDescent="0.35">
      <c r="A48" s="105">
        <v>43754</v>
      </c>
      <c r="B48" s="101">
        <v>-80</v>
      </c>
      <c r="C48" s="101" t="s">
        <v>105</v>
      </c>
      <c r="D48" s="201">
        <v>1038</v>
      </c>
      <c r="E48" s="101"/>
      <c r="F48" s="101"/>
      <c r="G48" s="101"/>
      <c r="H48" s="101"/>
      <c r="I48" s="101"/>
      <c r="J48" s="101"/>
      <c r="K48" s="101"/>
      <c r="L48" s="101">
        <f t="shared" si="2"/>
        <v>-80</v>
      </c>
      <c r="M48" s="101"/>
      <c r="N48" s="101">
        <f t="shared" si="1"/>
        <v>23446.969999999994</v>
      </c>
    </row>
    <row r="49" spans="1:14" x14ac:dyDescent="0.35">
      <c r="A49" s="105">
        <v>43760</v>
      </c>
      <c r="B49" s="101">
        <v>-273.77999999999997</v>
      </c>
      <c r="C49" s="101" t="s">
        <v>16</v>
      </c>
      <c r="D49" s="201">
        <v>1039</v>
      </c>
      <c r="E49" s="101"/>
      <c r="F49" s="101"/>
      <c r="G49" s="101"/>
      <c r="H49" s="101">
        <f>+B49</f>
        <v>-273.77999999999997</v>
      </c>
      <c r="I49" s="101"/>
      <c r="J49" s="101"/>
      <c r="K49" s="101"/>
      <c r="L49" s="101"/>
      <c r="M49" s="101"/>
      <c r="N49" s="101">
        <f t="shared" si="1"/>
        <v>23173.189999999995</v>
      </c>
    </row>
    <row r="50" spans="1:14" x14ac:dyDescent="0.35">
      <c r="A50" s="105">
        <v>43761</v>
      </c>
      <c r="B50" s="101">
        <v>-58.5</v>
      </c>
      <c r="C50" s="101" t="s">
        <v>5</v>
      </c>
      <c r="D50" s="201" t="s">
        <v>154</v>
      </c>
      <c r="E50" s="101"/>
      <c r="F50" s="101">
        <f>+B50</f>
        <v>-58.5</v>
      </c>
      <c r="G50" s="101"/>
      <c r="H50" s="101"/>
      <c r="I50" s="101"/>
      <c r="J50" s="101"/>
      <c r="K50" s="101"/>
      <c r="L50" s="101"/>
      <c r="M50" s="101"/>
      <c r="N50" s="101">
        <f t="shared" si="1"/>
        <v>23114.689999999995</v>
      </c>
    </row>
    <row r="51" spans="1:14" x14ac:dyDescent="0.35">
      <c r="A51" s="105">
        <v>43766</v>
      </c>
      <c r="B51" s="101">
        <v>-276.86</v>
      </c>
      <c r="C51" s="101" t="s">
        <v>237</v>
      </c>
      <c r="D51" s="201">
        <v>1040</v>
      </c>
      <c r="E51" s="101"/>
      <c r="F51" s="101"/>
      <c r="G51" s="101"/>
      <c r="H51" s="101"/>
      <c r="I51" s="101"/>
      <c r="J51" s="101"/>
      <c r="K51" s="101"/>
      <c r="L51" s="101">
        <f t="shared" si="2"/>
        <v>-276.86</v>
      </c>
      <c r="M51" s="101" t="s">
        <v>138</v>
      </c>
      <c r="N51" s="112">
        <f t="shared" si="1"/>
        <v>22837.829999999994</v>
      </c>
    </row>
    <row r="52" spans="1:14" x14ac:dyDescent="0.35">
      <c r="A52" s="105">
        <v>43770</v>
      </c>
      <c r="B52" s="101">
        <v>-4</v>
      </c>
      <c r="C52" s="101" t="s">
        <v>86</v>
      </c>
      <c r="D52" s="201" t="s">
        <v>154</v>
      </c>
      <c r="E52" s="101"/>
      <c r="F52" s="101"/>
      <c r="G52" s="101"/>
      <c r="H52" s="101"/>
      <c r="I52" s="101"/>
      <c r="J52" s="101">
        <f>+B52</f>
        <v>-4</v>
      </c>
      <c r="K52" s="101"/>
      <c r="L52" s="101"/>
      <c r="M52" s="101"/>
      <c r="N52" s="101">
        <f t="shared" si="1"/>
        <v>22833.829999999994</v>
      </c>
    </row>
    <row r="53" spans="1:14" x14ac:dyDescent="0.35">
      <c r="A53" s="105">
        <v>43775</v>
      </c>
      <c r="B53" s="101">
        <v>-400</v>
      </c>
      <c r="C53" s="101" t="s">
        <v>269</v>
      </c>
      <c r="D53" s="201">
        <v>1041</v>
      </c>
      <c r="E53" s="101"/>
      <c r="F53" s="101"/>
      <c r="G53" s="101">
        <f>+B53</f>
        <v>-400</v>
      </c>
      <c r="H53" s="101"/>
      <c r="I53" s="101"/>
      <c r="J53" s="101"/>
      <c r="K53" s="101"/>
      <c r="L53" s="101"/>
      <c r="M53" s="101" t="s">
        <v>315</v>
      </c>
      <c r="N53" s="101">
        <f t="shared" si="1"/>
        <v>22433.829999999994</v>
      </c>
    </row>
    <row r="54" spans="1:14" x14ac:dyDescent="0.35">
      <c r="A54" s="105">
        <v>43777</v>
      </c>
      <c r="B54" s="101">
        <v>-2499.85</v>
      </c>
      <c r="C54" s="101" t="s">
        <v>235</v>
      </c>
      <c r="D54" s="201">
        <v>1042</v>
      </c>
      <c r="E54" s="101"/>
      <c r="F54" s="101"/>
      <c r="G54" s="101"/>
      <c r="H54" s="101"/>
      <c r="I54" s="101"/>
      <c r="J54" s="101"/>
      <c r="K54" s="101"/>
      <c r="L54" s="101">
        <f>+B54</f>
        <v>-2499.85</v>
      </c>
      <c r="M54" s="101" t="s">
        <v>271</v>
      </c>
      <c r="N54" s="101">
        <f t="shared" si="1"/>
        <v>19933.979999999996</v>
      </c>
    </row>
    <row r="55" spans="1:14" x14ac:dyDescent="0.35">
      <c r="A55" s="105">
        <v>43788</v>
      </c>
      <c r="B55" s="101">
        <v>-16.28</v>
      </c>
      <c r="C55" s="101" t="s">
        <v>310</v>
      </c>
      <c r="D55" s="201">
        <v>1045</v>
      </c>
      <c r="E55" s="101"/>
      <c r="F55" s="101"/>
      <c r="G55" s="101"/>
      <c r="H55" s="101"/>
      <c r="I55" s="101"/>
      <c r="J55" s="101"/>
      <c r="K55" s="101"/>
      <c r="L55" s="101">
        <f>+B55</f>
        <v>-16.28</v>
      </c>
      <c r="M55" s="101" t="s">
        <v>313</v>
      </c>
      <c r="N55" s="101">
        <f t="shared" si="1"/>
        <v>19917.699999999997</v>
      </c>
    </row>
    <row r="56" spans="1:14" x14ac:dyDescent="0.35">
      <c r="A56" s="105">
        <v>43790</v>
      </c>
      <c r="B56" s="101">
        <v>-124.79</v>
      </c>
      <c r="C56" s="101" t="s">
        <v>237</v>
      </c>
      <c r="D56" s="201">
        <v>1043</v>
      </c>
      <c r="E56" s="101"/>
      <c r="F56" s="101"/>
      <c r="G56" s="101"/>
      <c r="H56" s="101"/>
      <c r="I56" s="101"/>
      <c r="J56" s="101"/>
      <c r="K56" s="101"/>
      <c r="L56" s="101">
        <f>+B56</f>
        <v>-124.79</v>
      </c>
      <c r="M56" s="101" t="s">
        <v>270</v>
      </c>
      <c r="N56" s="101">
        <f t="shared" si="1"/>
        <v>19792.909999999996</v>
      </c>
    </row>
    <row r="57" spans="1:14" x14ac:dyDescent="0.35">
      <c r="A57" s="105">
        <v>43790</v>
      </c>
      <c r="B57" s="101">
        <v>-60</v>
      </c>
      <c r="C57" s="101" t="s">
        <v>206</v>
      </c>
      <c r="D57" s="201">
        <v>1044</v>
      </c>
      <c r="L57" s="101">
        <f>+B57</f>
        <v>-60</v>
      </c>
      <c r="M57" s="101" t="s">
        <v>312</v>
      </c>
      <c r="N57" s="101">
        <f t="shared" si="1"/>
        <v>19732.909999999996</v>
      </c>
    </row>
    <row r="58" spans="1:14" x14ac:dyDescent="0.35">
      <c r="A58" s="105">
        <v>43791</v>
      </c>
      <c r="B58" s="101">
        <v>-102.85</v>
      </c>
      <c r="C58" s="101" t="s">
        <v>5</v>
      </c>
      <c r="D58" s="201" t="s">
        <v>154</v>
      </c>
      <c r="E58" s="101"/>
      <c r="F58" s="101">
        <f>+B58</f>
        <v>-102.85</v>
      </c>
      <c r="G58" s="101"/>
      <c r="H58" s="101"/>
      <c r="I58" s="101"/>
      <c r="J58" s="101"/>
      <c r="K58" s="101"/>
      <c r="L58" s="101"/>
      <c r="M58" s="101"/>
      <c r="N58" s="112">
        <f t="shared" si="1"/>
        <v>19630.059999999998</v>
      </c>
    </row>
    <row r="59" spans="1:14" x14ac:dyDescent="0.35">
      <c r="A59" s="105">
        <v>43801</v>
      </c>
      <c r="B59" s="101">
        <v>-4</v>
      </c>
      <c r="C59" s="101" t="s">
        <v>86</v>
      </c>
      <c r="D59" s="201" t="s">
        <v>154</v>
      </c>
      <c r="E59" s="101"/>
      <c r="F59" s="101"/>
      <c r="G59" s="101"/>
      <c r="H59" s="101"/>
      <c r="I59" s="101"/>
      <c r="J59" s="101">
        <f>+B59</f>
        <v>-4</v>
      </c>
      <c r="K59" s="101"/>
      <c r="L59" s="101"/>
      <c r="M59" s="101"/>
      <c r="N59" s="101">
        <f t="shared" si="1"/>
        <v>19626.059999999998</v>
      </c>
    </row>
    <row r="60" spans="1:14" x14ac:dyDescent="0.35">
      <c r="A60" s="105">
        <v>44169</v>
      </c>
      <c r="B60" s="101">
        <v>-53.2</v>
      </c>
      <c r="C60" s="101" t="s">
        <v>310</v>
      </c>
      <c r="D60" s="201">
        <v>1046</v>
      </c>
      <c r="E60" s="101"/>
      <c r="F60" s="101"/>
      <c r="G60" s="101"/>
      <c r="H60" s="101"/>
      <c r="I60" s="101"/>
      <c r="J60" s="101"/>
      <c r="K60" s="101"/>
      <c r="L60" s="101">
        <f>+B60</f>
        <v>-53.2</v>
      </c>
      <c r="M60" s="101" t="s">
        <v>314</v>
      </c>
      <c r="N60" s="101">
        <f t="shared" si="1"/>
        <v>19572.859999999997</v>
      </c>
    </row>
    <row r="61" spans="1:14" x14ac:dyDescent="0.35">
      <c r="A61" s="105">
        <v>44175</v>
      </c>
      <c r="B61" s="101">
        <v>-1850</v>
      </c>
      <c r="C61" s="101" t="s">
        <v>269</v>
      </c>
      <c r="D61" s="342">
        <v>1047</v>
      </c>
      <c r="E61" s="101"/>
      <c r="F61" s="101"/>
      <c r="G61" s="101">
        <v>-550</v>
      </c>
      <c r="H61" s="101"/>
      <c r="I61" s="101"/>
      <c r="J61" s="101"/>
      <c r="K61" s="101"/>
      <c r="L61" s="101">
        <v>-1300</v>
      </c>
      <c r="M61" s="101" t="s">
        <v>316</v>
      </c>
      <c r="N61" s="101">
        <f t="shared" si="1"/>
        <v>17722.859999999997</v>
      </c>
    </row>
    <row r="62" spans="1:14" x14ac:dyDescent="0.35">
      <c r="A62" s="105">
        <v>44175</v>
      </c>
      <c r="B62" s="101">
        <v>-110.1</v>
      </c>
      <c r="C62" s="101" t="s">
        <v>16</v>
      </c>
      <c r="D62" s="201">
        <v>1048</v>
      </c>
      <c r="E62" s="101"/>
      <c r="F62" s="101"/>
      <c r="G62" s="101"/>
      <c r="H62" s="101">
        <f>+B62</f>
        <v>-110.1</v>
      </c>
      <c r="I62" s="101"/>
      <c r="J62" s="101"/>
      <c r="K62" s="101"/>
      <c r="L62" s="101"/>
      <c r="M62" s="101"/>
      <c r="N62" s="101">
        <f t="shared" si="1"/>
        <v>17612.759999999998</v>
      </c>
    </row>
    <row r="63" spans="1:14" x14ac:dyDescent="0.35">
      <c r="A63" s="105">
        <v>44189</v>
      </c>
      <c r="B63" s="101">
        <v>-102.85</v>
      </c>
      <c r="C63" s="101" t="s">
        <v>5</v>
      </c>
      <c r="D63" s="201" t="s">
        <v>154</v>
      </c>
      <c r="E63" s="101"/>
      <c r="F63" s="101">
        <f>+B63</f>
        <v>-102.85</v>
      </c>
      <c r="G63" s="101"/>
      <c r="H63" s="101"/>
      <c r="I63" s="101"/>
      <c r="J63" s="101"/>
      <c r="K63" s="101"/>
      <c r="L63" s="101"/>
      <c r="M63" s="101"/>
      <c r="N63" s="101">
        <f>+N62+SUM(E63:L63)</f>
        <v>17509.91</v>
      </c>
    </row>
    <row r="64" spans="1:14" x14ac:dyDescent="0.35">
      <c r="A64" s="105">
        <v>44196</v>
      </c>
      <c r="B64" s="101">
        <v>-500</v>
      </c>
      <c r="C64" s="101" t="s">
        <v>318</v>
      </c>
      <c r="D64" s="201">
        <v>1049</v>
      </c>
      <c r="E64" s="101"/>
      <c r="F64" s="101"/>
      <c r="G64" s="101"/>
      <c r="H64" s="101"/>
      <c r="I64" s="101"/>
      <c r="J64" s="101"/>
      <c r="K64" s="101"/>
      <c r="L64" s="101">
        <f>+B64</f>
        <v>-500</v>
      </c>
      <c r="M64" s="101" t="s">
        <v>319</v>
      </c>
      <c r="N64" s="101">
        <f>+N63+SUM(E64:L64)</f>
        <v>17009.91</v>
      </c>
    </row>
    <row r="65" spans="1:14" x14ac:dyDescent="0.35">
      <c r="A65" s="105"/>
      <c r="B65" s="101"/>
      <c r="C65" s="101"/>
      <c r="D65" s="148"/>
      <c r="E65" s="101"/>
      <c r="F65" s="101"/>
      <c r="G65" s="101"/>
      <c r="H65" s="101"/>
      <c r="I65" s="101"/>
      <c r="J65" s="101"/>
      <c r="K65" s="101"/>
      <c r="L65" s="101"/>
      <c r="M65" s="101"/>
      <c r="N65" s="112">
        <f t="shared" si="1"/>
        <v>17009.91</v>
      </c>
    </row>
    <row r="66" spans="1:14" x14ac:dyDescent="0.35">
      <c r="B66" s="101">
        <f>SUM(B6:B65)</f>
        <v>-6364.1600000000008</v>
      </c>
      <c r="C66" s="101"/>
      <c r="D66" s="101"/>
      <c r="E66" s="101">
        <f t="shared" ref="E66:K66" si="3">SUM(E6:E65)</f>
        <v>13125</v>
      </c>
      <c r="F66" s="101">
        <f t="shared" si="3"/>
        <v>-790.7</v>
      </c>
      <c r="G66" s="101">
        <f t="shared" si="3"/>
        <v>-8142.25</v>
      </c>
      <c r="H66" s="101">
        <f t="shared" si="3"/>
        <v>-647.22</v>
      </c>
      <c r="I66" s="101">
        <f t="shared" si="3"/>
        <v>-93.490000000000009</v>
      </c>
      <c r="J66" s="101">
        <f t="shared" si="3"/>
        <v>-68</v>
      </c>
      <c r="K66" s="101">
        <f t="shared" si="3"/>
        <v>0</v>
      </c>
      <c r="L66" s="101">
        <f>SUM(L6:L65)</f>
        <v>-9747.5</v>
      </c>
      <c r="M66" s="101">
        <f>SUM(E66:L66)</f>
        <v>-6364.1600000000008</v>
      </c>
      <c r="N66" s="101"/>
    </row>
    <row r="67" spans="1:14" x14ac:dyDescent="0.35">
      <c r="B67" s="101"/>
      <c r="C67" s="106" t="s">
        <v>90</v>
      </c>
      <c r="D67" s="106"/>
      <c r="E67" s="107">
        <v>375</v>
      </c>
      <c r="F67" s="107"/>
      <c r="G67" s="107"/>
      <c r="H67" s="101"/>
      <c r="I67" s="101"/>
      <c r="J67" s="101"/>
      <c r="K67" s="101"/>
      <c r="L67" s="101"/>
      <c r="M67" s="101">
        <f>+N2+M66</f>
        <v>17009.91</v>
      </c>
      <c r="N67" s="101"/>
    </row>
    <row r="68" spans="1:14" x14ac:dyDescent="0.35">
      <c r="B68" s="101"/>
      <c r="C68" s="106" t="s">
        <v>89</v>
      </c>
      <c r="D68" s="106"/>
      <c r="E68" s="149">
        <f>+E66/E67</f>
        <v>35</v>
      </c>
      <c r="F68" s="149"/>
      <c r="G68" s="150"/>
      <c r="H68" s="101"/>
      <c r="I68" s="101"/>
      <c r="J68" s="101"/>
      <c r="K68" s="101"/>
      <c r="L68" s="101"/>
      <c r="M68" s="101">
        <f>+N65-M67</f>
        <v>0</v>
      </c>
      <c r="N68" s="101"/>
    </row>
    <row r="69" spans="1:14" x14ac:dyDescent="0.35">
      <c r="C69" s="106" t="s">
        <v>117</v>
      </c>
      <c r="D69" s="106"/>
      <c r="E69" s="151">
        <v>32</v>
      </c>
      <c r="N69" s="101"/>
    </row>
    <row r="70" spans="1:14" x14ac:dyDescent="0.35">
      <c r="C70" s="106" t="s">
        <v>118</v>
      </c>
      <c r="D70" s="106"/>
      <c r="E70" s="150">
        <f>+E68-E69</f>
        <v>3</v>
      </c>
    </row>
  </sheetData>
  <sortState xmlns:xlrd2="http://schemas.microsoft.com/office/spreadsheetml/2017/richdata2" ref="A49:N50">
    <sortCondition ref="A49:A50"/>
  </sortState>
  <pageMargins left="0.7" right="0.7" top="0.5" bottom="0.25" header="0.3" footer="0.3"/>
  <pageSetup scale="54" orientation="landscape" horizontalDpi="4294967293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CC9900"/>
    <pageSetUpPr fitToPage="1"/>
  </sheetPr>
  <dimension ref="A1:P89"/>
  <sheetViews>
    <sheetView zoomScale="89" zoomScaleNormal="89" workbookViewId="0">
      <pane xSplit="2" ySplit="1" topLeftCell="C8" activePane="bottomRight" state="frozen"/>
      <selection pane="topRight" activeCell="C1" sqref="C1"/>
      <selection pane="bottomLeft" activeCell="A2" sqref="A2"/>
      <selection pane="bottomRight" activeCell="N22" sqref="N22"/>
    </sheetView>
  </sheetViews>
  <sheetFormatPr defaultColWidth="8.6328125" defaultRowHeight="15.5" x14ac:dyDescent="0.35"/>
  <cols>
    <col min="1" max="1" width="14.6328125" style="1" customWidth="1"/>
    <col min="2" max="2" width="36.08984375" style="1" customWidth="1"/>
    <col min="3" max="3" width="11.90625" style="2" customWidth="1"/>
    <col min="4" max="4" width="12.54296875" style="1" customWidth="1"/>
    <col min="5" max="7" width="11.36328125" style="9" customWidth="1"/>
    <col min="8" max="16" width="11.36328125" style="1" customWidth="1"/>
    <col min="17" max="16384" width="8.6328125" style="1"/>
  </cols>
  <sheetData>
    <row r="1" spans="1:16" ht="31.5" customHeight="1" thickBot="1" x14ac:dyDescent="0.4">
      <c r="A1" s="525" t="s">
        <v>321</v>
      </c>
      <c r="B1" s="526"/>
      <c r="C1" s="58" t="s">
        <v>60</v>
      </c>
      <c r="D1" s="343" t="s">
        <v>321</v>
      </c>
      <c r="E1" s="17" t="s">
        <v>31</v>
      </c>
      <c r="F1" s="17" t="s">
        <v>32</v>
      </c>
      <c r="G1" s="17" t="s">
        <v>33</v>
      </c>
      <c r="H1" s="15" t="s">
        <v>34</v>
      </c>
      <c r="I1" s="15" t="s">
        <v>35</v>
      </c>
      <c r="J1" s="15" t="s">
        <v>36</v>
      </c>
      <c r="K1" s="15" t="s">
        <v>37</v>
      </c>
      <c r="L1" s="15" t="s">
        <v>38</v>
      </c>
      <c r="M1" s="15" t="s">
        <v>39</v>
      </c>
      <c r="N1" s="15" t="s">
        <v>40</v>
      </c>
      <c r="O1" s="15" t="s">
        <v>51</v>
      </c>
      <c r="P1" s="15" t="s">
        <v>52</v>
      </c>
    </row>
    <row r="2" spans="1:16" x14ac:dyDescent="0.35">
      <c r="A2" s="37" t="s">
        <v>197</v>
      </c>
      <c r="B2" s="38"/>
      <c r="C2" s="45">
        <v>23370.07</v>
      </c>
      <c r="D2" s="344">
        <f>+'2018 Ck Reg'!M55</f>
        <v>23374.07</v>
      </c>
      <c r="E2" s="271">
        <f>+D2</f>
        <v>23374.07</v>
      </c>
      <c r="F2" s="271">
        <f>+E26</f>
        <v>22821.07</v>
      </c>
      <c r="G2" s="271">
        <f t="shared" ref="G2:P2" si="0">+F26</f>
        <v>22758.57</v>
      </c>
      <c r="H2" s="271">
        <f t="shared" si="0"/>
        <v>31275.57</v>
      </c>
      <c r="I2" s="271">
        <f t="shared" si="0"/>
        <v>34588.07</v>
      </c>
      <c r="J2" s="271">
        <f t="shared" si="0"/>
        <v>34525.57</v>
      </c>
      <c r="K2" s="271">
        <f t="shared" si="0"/>
        <v>31636.32</v>
      </c>
      <c r="L2" s="271">
        <f t="shared" si="0"/>
        <v>31573.82</v>
      </c>
      <c r="M2" s="271">
        <f t="shared" si="0"/>
        <v>31511.32</v>
      </c>
      <c r="N2" s="271">
        <f t="shared" si="0"/>
        <v>29839.989999999998</v>
      </c>
      <c r="O2" s="271">
        <f t="shared" si="0"/>
        <v>22837.829999999998</v>
      </c>
      <c r="P2" s="272">
        <f t="shared" si="0"/>
        <v>19630.059999999998</v>
      </c>
    </row>
    <row r="3" spans="1:16" x14ac:dyDescent="0.35">
      <c r="A3" s="3"/>
      <c r="B3" s="6"/>
      <c r="C3" s="46"/>
      <c r="D3" s="32"/>
      <c r="E3" s="26"/>
      <c r="F3" s="26"/>
      <c r="G3" s="26"/>
      <c r="H3" s="26"/>
      <c r="I3" s="27"/>
      <c r="J3" s="27"/>
      <c r="K3" s="27"/>
      <c r="L3" s="27"/>
      <c r="M3" s="27"/>
      <c r="N3" s="27"/>
      <c r="O3" s="27"/>
      <c r="P3" s="27"/>
    </row>
    <row r="4" spans="1:16" x14ac:dyDescent="0.35">
      <c r="A4" s="24" t="s">
        <v>44</v>
      </c>
      <c r="B4" s="6"/>
      <c r="C4" s="46"/>
      <c r="D4" s="32"/>
      <c r="E4" s="26"/>
      <c r="F4" s="26"/>
      <c r="G4" s="26"/>
      <c r="H4" s="26"/>
      <c r="I4" s="27"/>
      <c r="J4" s="27"/>
      <c r="K4" s="27"/>
      <c r="L4" s="27"/>
      <c r="M4" s="27"/>
      <c r="N4" s="27"/>
      <c r="O4" s="27"/>
      <c r="P4" s="27"/>
    </row>
    <row r="5" spans="1:16" x14ac:dyDescent="0.35">
      <c r="A5" s="1" t="s">
        <v>183</v>
      </c>
      <c r="C5" s="47">
        <v>12000</v>
      </c>
      <c r="D5" s="33">
        <f>SUM(E5:P5)</f>
        <v>13125</v>
      </c>
      <c r="E5" s="56">
        <v>1125</v>
      </c>
      <c r="F5" s="56"/>
      <c r="G5" s="56">
        <v>8625</v>
      </c>
      <c r="H5" s="56">
        <v>3375</v>
      </c>
      <c r="I5" s="53"/>
      <c r="J5" s="53"/>
      <c r="K5" s="53"/>
      <c r="L5" s="53"/>
      <c r="M5" s="53"/>
      <c r="N5" s="53"/>
      <c r="O5" s="53"/>
      <c r="P5" s="53"/>
    </row>
    <row r="6" spans="1:16" x14ac:dyDescent="0.35">
      <c r="A6" s="95" t="s">
        <v>49</v>
      </c>
      <c r="C6" s="46">
        <f t="shared" ref="C6:P6" si="1">SUM(C5:C5)</f>
        <v>12000</v>
      </c>
      <c r="D6" s="54">
        <f t="shared" si="1"/>
        <v>13125</v>
      </c>
      <c r="E6" s="57">
        <f t="shared" si="1"/>
        <v>1125</v>
      </c>
      <c r="F6" s="57">
        <f t="shared" si="1"/>
        <v>0</v>
      </c>
      <c r="G6" s="57">
        <f t="shared" si="1"/>
        <v>8625</v>
      </c>
      <c r="H6" s="57">
        <f t="shared" si="1"/>
        <v>3375</v>
      </c>
      <c r="I6" s="57">
        <f t="shared" si="1"/>
        <v>0</v>
      </c>
      <c r="J6" s="57">
        <f t="shared" si="1"/>
        <v>0</v>
      </c>
      <c r="K6" s="57">
        <f t="shared" si="1"/>
        <v>0</v>
      </c>
      <c r="L6" s="57">
        <f t="shared" si="1"/>
        <v>0</v>
      </c>
      <c r="M6" s="57">
        <f t="shared" si="1"/>
        <v>0</v>
      </c>
      <c r="N6" s="57">
        <f t="shared" si="1"/>
        <v>0</v>
      </c>
      <c r="O6" s="57">
        <f t="shared" si="1"/>
        <v>0</v>
      </c>
      <c r="P6" s="57">
        <f t="shared" si="1"/>
        <v>0</v>
      </c>
    </row>
    <row r="7" spans="1:16" x14ac:dyDescent="0.35">
      <c r="C7" s="46"/>
      <c r="D7" s="32"/>
      <c r="E7" s="57"/>
      <c r="F7" s="57"/>
      <c r="G7" s="57"/>
      <c r="H7" s="27"/>
      <c r="I7" s="27"/>
      <c r="J7" s="27"/>
      <c r="K7" s="27"/>
      <c r="L7" s="27"/>
      <c r="M7" s="27"/>
      <c r="N7" s="27"/>
      <c r="O7" s="27"/>
      <c r="P7" s="27"/>
    </row>
    <row r="8" spans="1:16" x14ac:dyDescent="0.35">
      <c r="A8" s="24" t="s">
        <v>3</v>
      </c>
      <c r="C8" s="46"/>
      <c r="D8" s="32"/>
      <c r="E8" s="26"/>
      <c r="F8" s="26"/>
      <c r="G8" s="26"/>
      <c r="H8" s="27"/>
      <c r="I8" s="27"/>
      <c r="J8" s="27"/>
      <c r="K8" s="27"/>
      <c r="L8" s="27"/>
      <c r="M8" s="27"/>
      <c r="N8" s="27"/>
      <c r="O8" s="27"/>
      <c r="P8" s="27"/>
    </row>
    <row r="9" spans="1:16" x14ac:dyDescent="0.35">
      <c r="A9" s="1" t="s">
        <v>272</v>
      </c>
      <c r="B9" s="1" t="s">
        <v>290</v>
      </c>
      <c r="C9" s="46">
        <v>10200</v>
      </c>
      <c r="D9" s="32">
        <f>SUM(E9:P9)</f>
        <v>8142.25</v>
      </c>
      <c r="E9" s="26">
        <v>1615.5</v>
      </c>
      <c r="F9" s="26"/>
      <c r="G9" s="26">
        <v>0</v>
      </c>
      <c r="H9" s="26"/>
      <c r="I9" s="26"/>
      <c r="J9" s="26">
        <v>2826.75</v>
      </c>
      <c r="K9" s="26"/>
      <c r="L9" s="26"/>
      <c r="M9" s="57"/>
      <c r="N9" s="57">
        <v>2750</v>
      </c>
      <c r="O9" s="57">
        <v>400</v>
      </c>
      <c r="P9" s="57">
        <f>550</f>
        <v>550</v>
      </c>
    </row>
    <row r="10" spans="1:16" x14ac:dyDescent="0.35">
      <c r="B10" s="1" t="s">
        <v>291</v>
      </c>
      <c r="C10" s="46">
        <v>1250</v>
      </c>
      <c r="D10" s="32">
        <f>SUM(E10:P10)</f>
        <v>432.57000000000005</v>
      </c>
      <c r="E10" s="26"/>
      <c r="F10" s="26"/>
      <c r="G10" s="26"/>
      <c r="H10" s="26"/>
      <c r="I10" s="26"/>
      <c r="J10" s="26"/>
      <c r="K10" s="26"/>
      <c r="L10" s="26"/>
      <c r="M10" s="57"/>
      <c r="N10" s="57">
        <f>74.92+77.62+77.62+77.62</f>
        <v>307.78000000000003</v>
      </c>
      <c r="O10" s="57">
        <v>124.79</v>
      </c>
      <c r="P10" s="57"/>
    </row>
    <row r="11" spans="1:16" x14ac:dyDescent="0.35">
      <c r="B11" s="1" t="s">
        <v>292</v>
      </c>
      <c r="C11" s="46">
        <v>4000</v>
      </c>
      <c r="D11" s="32">
        <f>SUM(E11:P11)</f>
        <v>8799.75</v>
      </c>
      <c r="E11" s="26"/>
      <c r="F11" s="26"/>
      <c r="G11" s="26"/>
      <c r="H11" s="26"/>
      <c r="I11" s="26"/>
      <c r="J11" s="26"/>
      <c r="K11" s="26"/>
      <c r="L11" s="26"/>
      <c r="M11" s="57">
        <v>1529.84</v>
      </c>
      <c r="N11" s="57">
        <f>2500+140+276.86</f>
        <v>2916.86</v>
      </c>
      <c r="O11" s="57">
        <v>2499.85</v>
      </c>
      <c r="P11" s="57">
        <v>1853.2</v>
      </c>
    </row>
    <row r="12" spans="1:16" x14ac:dyDescent="0.35">
      <c r="C12" s="46"/>
      <c r="D12" s="32"/>
      <c r="E12" s="26"/>
      <c r="F12" s="26"/>
      <c r="G12" s="26"/>
      <c r="H12" s="26"/>
      <c r="I12" s="26"/>
      <c r="J12" s="26"/>
      <c r="K12" s="26"/>
      <c r="L12" s="26"/>
      <c r="M12" s="57"/>
      <c r="N12" s="57"/>
      <c r="O12" s="57"/>
      <c r="P12" s="57"/>
    </row>
    <row r="13" spans="1:16" x14ac:dyDescent="0.35">
      <c r="A13" s="1" t="s">
        <v>48</v>
      </c>
      <c r="B13" s="1" t="s">
        <v>293</v>
      </c>
      <c r="C13" s="46">
        <v>780</v>
      </c>
      <c r="D13" s="32">
        <f>SUM(E13:P13)</f>
        <v>790.7</v>
      </c>
      <c r="E13" s="26">
        <v>58.5</v>
      </c>
      <c r="F13" s="26">
        <v>58.5</v>
      </c>
      <c r="G13" s="26">
        <v>58.5</v>
      </c>
      <c r="H13" s="26">
        <v>58.5</v>
      </c>
      <c r="I13" s="26">
        <v>58.5</v>
      </c>
      <c r="J13" s="26">
        <v>58.5</v>
      </c>
      <c r="K13" s="26">
        <v>58.5</v>
      </c>
      <c r="L13" s="26">
        <v>58.5</v>
      </c>
      <c r="M13" s="57">
        <v>58.5</v>
      </c>
      <c r="N13" s="57">
        <v>58.5</v>
      </c>
      <c r="O13" s="57">
        <v>102.85</v>
      </c>
      <c r="P13" s="57">
        <v>102.85</v>
      </c>
    </row>
    <row r="14" spans="1:16" x14ac:dyDescent="0.35">
      <c r="C14" s="46"/>
      <c r="D14" s="32"/>
      <c r="E14" s="26"/>
      <c r="F14" s="26"/>
      <c r="G14" s="26"/>
      <c r="H14" s="26"/>
      <c r="I14" s="26"/>
      <c r="J14" s="26"/>
      <c r="K14" s="26"/>
      <c r="L14" s="26"/>
      <c r="M14" s="57"/>
      <c r="N14" s="57"/>
      <c r="O14" s="57"/>
      <c r="P14" s="57"/>
    </row>
    <row r="15" spans="1:16" x14ac:dyDescent="0.35">
      <c r="A15" s="1" t="s">
        <v>46</v>
      </c>
      <c r="B15" s="1" t="s">
        <v>265</v>
      </c>
      <c r="C15" s="46">
        <v>105</v>
      </c>
      <c r="D15" s="32">
        <f>SUM(E15:P15)</f>
        <v>68</v>
      </c>
      <c r="E15" s="26">
        <v>4</v>
      </c>
      <c r="F15" s="26">
        <v>4</v>
      </c>
      <c r="G15" s="26">
        <v>4</v>
      </c>
      <c r="H15" s="28">
        <v>4</v>
      </c>
      <c r="I15" s="26">
        <v>4</v>
      </c>
      <c r="J15" s="26">
        <v>4</v>
      </c>
      <c r="K15" s="26">
        <v>4</v>
      </c>
      <c r="L15" s="57">
        <v>4</v>
      </c>
      <c r="M15" s="57">
        <v>24</v>
      </c>
      <c r="N15" s="57">
        <v>4</v>
      </c>
      <c r="O15" s="57">
        <v>4</v>
      </c>
      <c r="P15" s="57">
        <v>4</v>
      </c>
    </row>
    <row r="16" spans="1:16" x14ac:dyDescent="0.35">
      <c r="C16" s="46"/>
      <c r="D16" s="32"/>
      <c r="E16" s="26"/>
      <c r="F16" s="26"/>
      <c r="G16" s="26"/>
      <c r="H16" s="26"/>
      <c r="I16" s="26"/>
      <c r="J16" s="26"/>
      <c r="K16" s="26"/>
      <c r="L16" s="26"/>
      <c r="M16" s="57"/>
      <c r="N16" s="57"/>
      <c r="O16" s="57"/>
      <c r="P16" s="57"/>
    </row>
    <row r="17" spans="1:16" x14ac:dyDescent="0.35">
      <c r="A17" s="1" t="s">
        <v>45</v>
      </c>
      <c r="B17" s="1" t="s">
        <v>16</v>
      </c>
      <c r="C17" s="46">
        <v>1200</v>
      </c>
      <c r="D17" s="32">
        <f>SUM(E17:P17)</f>
        <v>647.21999999999991</v>
      </c>
      <c r="E17" s="26"/>
      <c r="F17" s="26"/>
      <c r="G17" s="26"/>
      <c r="H17" s="26"/>
      <c r="I17" s="26"/>
      <c r="J17" s="26"/>
      <c r="K17" s="26"/>
      <c r="L17" s="57"/>
      <c r="M17" s="57"/>
      <c r="N17" s="57">
        <f>263.34+273.78</f>
        <v>537.11999999999989</v>
      </c>
      <c r="O17" s="57"/>
      <c r="P17" s="57">
        <v>110.1</v>
      </c>
    </row>
    <row r="18" spans="1:16" x14ac:dyDescent="0.35">
      <c r="B18" s="1" t="s">
        <v>17</v>
      </c>
      <c r="C18" s="46">
        <v>150</v>
      </c>
      <c r="D18" s="32">
        <f>SUM(E18:P18)</f>
        <v>93.490000000000009</v>
      </c>
      <c r="E18" s="26"/>
      <c r="F18" s="26"/>
      <c r="G18" s="26">
        <v>45.5</v>
      </c>
      <c r="H18" s="26"/>
      <c r="I18" s="26"/>
      <c r="J18" s="26"/>
      <c r="K18" s="26"/>
      <c r="L18" s="26"/>
      <c r="M18" s="57">
        <v>47.99</v>
      </c>
      <c r="N18" s="57"/>
      <c r="O18" s="57"/>
      <c r="P18" s="57"/>
    </row>
    <row r="19" spans="1:16" x14ac:dyDescent="0.35">
      <c r="C19" s="46"/>
      <c r="D19" s="32"/>
      <c r="E19" s="26"/>
      <c r="F19" s="26"/>
      <c r="G19" s="26"/>
      <c r="H19" s="26"/>
      <c r="I19" s="26"/>
      <c r="J19" s="26"/>
      <c r="K19" s="26"/>
      <c r="L19" s="57"/>
      <c r="M19" s="57"/>
      <c r="N19" s="57"/>
      <c r="O19" s="57"/>
      <c r="P19" s="57"/>
    </row>
    <row r="20" spans="1:16" x14ac:dyDescent="0.35">
      <c r="A20" s="1" t="s">
        <v>56</v>
      </c>
      <c r="B20" s="1" t="s">
        <v>30</v>
      </c>
      <c r="C20" s="46">
        <v>50</v>
      </c>
      <c r="D20" s="32">
        <f>SUM(E20:P20)</f>
        <v>171.9</v>
      </c>
      <c r="E20" s="26"/>
      <c r="F20" s="26"/>
      <c r="G20" s="26"/>
      <c r="H20" s="26"/>
      <c r="I20" s="26"/>
      <c r="J20" s="26"/>
      <c r="K20" s="26"/>
      <c r="L20" s="26"/>
      <c r="M20" s="57"/>
      <c r="N20" s="57">
        <v>171.9</v>
      </c>
      <c r="O20" s="57"/>
      <c r="P20" s="57"/>
    </row>
    <row r="21" spans="1:16" x14ac:dyDescent="0.35">
      <c r="B21" s="1" t="s">
        <v>294</v>
      </c>
      <c r="C21" s="46">
        <v>165</v>
      </c>
      <c r="D21" s="32">
        <f>SUM(E21:P21)</f>
        <v>323.27999999999997</v>
      </c>
      <c r="E21" s="26"/>
      <c r="F21" s="26"/>
      <c r="G21" s="26"/>
      <c r="H21" s="26"/>
      <c r="I21" s="26"/>
      <c r="J21" s="26"/>
      <c r="K21" s="26"/>
      <c r="L21" s="26"/>
      <c r="M21" s="57">
        <v>11</v>
      </c>
      <c r="N21" s="57">
        <v>236</v>
      </c>
      <c r="O21" s="57">
        <v>76.28</v>
      </c>
      <c r="P21" s="57"/>
    </row>
    <row r="22" spans="1:16" x14ac:dyDescent="0.35">
      <c r="B22" s="1" t="s">
        <v>383</v>
      </c>
      <c r="C22" s="46">
        <v>55</v>
      </c>
      <c r="D22" s="32">
        <f>SUM(E22:P22)</f>
        <v>20</v>
      </c>
      <c r="E22" s="26"/>
      <c r="F22" s="26"/>
      <c r="G22" s="26"/>
      <c r="H22" s="26"/>
      <c r="I22" s="26"/>
      <c r="J22" s="26"/>
      <c r="K22" s="26"/>
      <c r="L22" s="26"/>
      <c r="M22" s="57"/>
      <c r="N22" s="57">
        <v>20</v>
      </c>
      <c r="O22" s="57"/>
      <c r="P22" s="57"/>
    </row>
    <row r="23" spans="1:16" x14ac:dyDescent="0.35">
      <c r="B23" s="1" t="s">
        <v>295</v>
      </c>
      <c r="C23" s="47">
        <v>0</v>
      </c>
      <c r="D23" s="33">
        <f>SUM(E23:P23)</f>
        <v>0</v>
      </c>
      <c r="E23" s="29">
        <v>0</v>
      </c>
      <c r="F23" s="29">
        <v>0</v>
      </c>
      <c r="G23" s="29">
        <v>0</v>
      </c>
      <c r="H23" s="29">
        <v>0</v>
      </c>
      <c r="I23" s="29">
        <v>0</v>
      </c>
      <c r="J23" s="29">
        <v>0</v>
      </c>
      <c r="K23" s="29">
        <v>0</v>
      </c>
      <c r="L23" s="29">
        <v>0</v>
      </c>
      <c r="M23" s="56">
        <v>0</v>
      </c>
      <c r="N23" s="56">
        <v>0</v>
      </c>
      <c r="O23" s="56">
        <v>0</v>
      </c>
      <c r="P23" s="56">
        <v>0</v>
      </c>
    </row>
    <row r="24" spans="1:16" x14ac:dyDescent="0.35">
      <c r="A24" s="25" t="s">
        <v>24</v>
      </c>
      <c r="C24" s="48">
        <f t="shared" ref="C24:P24" si="2">SUM(C9:C23)</f>
        <v>17955</v>
      </c>
      <c r="D24" s="34">
        <f t="shared" si="2"/>
        <v>19489.160000000003</v>
      </c>
      <c r="E24" s="30">
        <f t="shared" si="2"/>
        <v>1678</v>
      </c>
      <c r="F24" s="30">
        <f t="shared" si="2"/>
        <v>62.5</v>
      </c>
      <c r="G24" s="30">
        <f t="shared" si="2"/>
        <v>108</v>
      </c>
      <c r="H24" s="30">
        <f t="shared" si="2"/>
        <v>62.5</v>
      </c>
      <c r="I24" s="30">
        <f t="shared" si="2"/>
        <v>62.5</v>
      </c>
      <c r="J24" s="30">
        <f t="shared" si="2"/>
        <v>2889.25</v>
      </c>
      <c r="K24" s="30">
        <f t="shared" si="2"/>
        <v>62.5</v>
      </c>
      <c r="L24" s="30">
        <f t="shared" si="2"/>
        <v>62.5</v>
      </c>
      <c r="M24" s="30">
        <f t="shared" si="2"/>
        <v>1671.33</v>
      </c>
      <c r="N24" s="30">
        <f t="shared" si="2"/>
        <v>7002.16</v>
      </c>
      <c r="O24" s="30">
        <f>SUM(O9:O23)</f>
        <v>3207.77</v>
      </c>
      <c r="P24" s="30">
        <f t="shared" si="2"/>
        <v>2620.1499999999996</v>
      </c>
    </row>
    <row r="25" spans="1:16" x14ac:dyDescent="0.35">
      <c r="C25" s="48"/>
      <c r="D25" s="32"/>
      <c r="E25" s="10"/>
      <c r="F25" s="10"/>
      <c r="G25" s="10"/>
    </row>
    <row r="26" spans="1:16" ht="16" thickBot="1" x14ac:dyDescent="0.4">
      <c r="A26" s="37" t="s">
        <v>50</v>
      </c>
      <c r="C26" s="49">
        <f t="shared" ref="C26:P26" si="3">+C2+C6-C24</f>
        <v>17415.07</v>
      </c>
      <c r="D26" s="251">
        <f t="shared" si="3"/>
        <v>17009.909999999996</v>
      </c>
      <c r="E26" s="36">
        <f t="shared" si="3"/>
        <v>22821.07</v>
      </c>
      <c r="F26" s="36">
        <f t="shared" si="3"/>
        <v>22758.57</v>
      </c>
      <c r="G26" s="36">
        <f t="shared" si="3"/>
        <v>31275.57</v>
      </c>
      <c r="H26" s="36">
        <f t="shared" si="3"/>
        <v>34588.07</v>
      </c>
      <c r="I26" s="36">
        <f t="shared" si="3"/>
        <v>34525.57</v>
      </c>
      <c r="J26" s="36">
        <f t="shared" si="3"/>
        <v>31636.32</v>
      </c>
      <c r="K26" s="36">
        <f t="shared" si="3"/>
        <v>31573.82</v>
      </c>
      <c r="L26" s="36">
        <f t="shared" si="3"/>
        <v>31511.32</v>
      </c>
      <c r="M26" s="36">
        <f t="shared" si="3"/>
        <v>29839.989999999998</v>
      </c>
      <c r="N26" s="36">
        <f t="shared" si="3"/>
        <v>22837.829999999998</v>
      </c>
      <c r="O26" s="36">
        <f t="shared" si="3"/>
        <v>19630.059999999998</v>
      </c>
      <c r="P26" s="36">
        <f t="shared" si="3"/>
        <v>17009.909999999996</v>
      </c>
    </row>
    <row r="27" spans="1:16" ht="16" thickBot="1" x14ac:dyDescent="0.4">
      <c r="A27" s="3" t="s">
        <v>223</v>
      </c>
      <c r="D27" s="345">
        <f>+D26-C26</f>
        <v>-405.16000000000349</v>
      </c>
      <c r="E27" s="536" t="s">
        <v>323</v>
      </c>
      <c r="F27" s="536"/>
      <c r="G27" s="536"/>
      <c r="H27" s="536"/>
      <c r="I27" s="536"/>
      <c r="J27" s="536"/>
      <c r="K27" s="536"/>
      <c r="L27" s="536"/>
      <c r="M27" s="536"/>
      <c r="N27" s="536"/>
      <c r="O27" s="536"/>
    </row>
    <row r="28" spans="1:16" x14ac:dyDescent="0.35">
      <c r="A28"/>
      <c r="D28" s="23"/>
    </row>
    <row r="29" spans="1:16" x14ac:dyDescent="0.35">
      <c r="A29" s="31" t="s">
        <v>53</v>
      </c>
    </row>
    <row r="30" spans="1:16" x14ac:dyDescent="0.35">
      <c r="A30" s="527" t="s">
        <v>298</v>
      </c>
      <c r="B30" s="528"/>
      <c r="C30" s="528"/>
      <c r="D30" s="528"/>
      <c r="E30" s="528"/>
      <c r="F30" s="528"/>
      <c r="G30" s="528"/>
      <c r="H30" s="528"/>
      <c r="I30" s="528"/>
      <c r="J30" s="528"/>
      <c r="K30" s="528"/>
      <c r="L30" s="528"/>
      <c r="M30" s="528"/>
      <c r="N30" s="528"/>
      <c r="O30" s="528"/>
      <c r="P30" s="529"/>
    </row>
    <row r="31" spans="1:16" ht="32.25" customHeight="1" x14ac:dyDescent="0.35">
      <c r="A31" s="530" t="s">
        <v>296</v>
      </c>
      <c r="B31" s="531"/>
      <c r="C31" s="531"/>
      <c r="D31" s="531"/>
      <c r="E31" s="531"/>
      <c r="F31" s="531"/>
      <c r="G31" s="531"/>
      <c r="H31" s="531"/>
      <c r="I31" s="531"/>
      <c r="J31" s="531"/>
      <c r="K31" s="531"/>
      <c r="L31" s="531"/>
      <c r="M31" s="531"/>
      <c r="N31" s="531"/>
      <c r="O31" s="531"/>
      <c r="P31" s="532"/>
    </row>
    <row r="32" spans="1:16" ht="15.75" customHeight="1" x14ac:dyDescent="0.35">
      <c r="A32" s="533" t="s">
        <v>299</v>
      </c>
      <c r="B32" s="534"/>
      <c r="C32" s="534"/>
      <c r="D32" s="534"/>
      <c r="E32" s="534"/>
      <c r="F32" s="534"/>
      <c r="G32" s="534"/>
      <c r="H32" s="534"/>
      <c r="I32" s="534"/>
      <c r="J32" s="534"/>
      <c r="K32" s="534"/>
      <c r="L32" s="534"/>
      <c r="M32" s="534"/>
      <c r="N32" s="534"/>
      <c r="O32" s="534"/>
      <c r="P32" s="535"/>
    </row>
    <row r="33" spans="1:16" ht="15.75" customHeight="1" x14ac:dyDescent="0.35">
      <c r="A33" s="484" t="s">
        <v>322</v>
      </c>
      <c r="B33" s="485"/>
      <c r="C33" s="485"/>
      <c r="D33" s="485"/>
      <c r="E33" s="485"/>
      <c r="F33" s="485"/>
      <c r="G33" s="485"/>
      <c r="H33" s="485"/>
      <c r="I33" s="485"/>
      <c r="J33" s="485"/>
      <c r="K33" s="485"/>
      <c r="L33" s="485"/>
      <c r="M33" s="485"/>
      <c r="N33" s="485"/>
      <c r="O33" s="485"/>
      <c r="P33" s="486"/>
    </row>
    <row r="34" spans="1:16" x14ac:dyDescent="0.35">
      <c r="A34" s="487"/>
      <c r="B34" s="488"/>
      <c r="C34" s="488"/>
      <c r="D34" s="488"/>
      <c r="E34" s="488"/>
      <c r="F34" s="488"/>
      <c r="G34" s="488"/>
      <c r="H34" s="488"/>
      <c r="I34" s="488"/>
      <c r="J34" s="488"/>
      <c r="K34" s="488"/>
      <c r="L34" s="488"/>
      <c r="M34" s="488"/>
      <c r="N34" s="488"/>
      <c r="O34" s="488"/>
      <c r="P34" s="489"/>
    </row>
    <row r="35" spans="1:16" x14ac:dyDescent="0.35">
      <c r="A35" s="490"/>
      <c r="B35" s="491"/>
      <c r="C35" s="491"/>
      <c r="D35" s="491"/>
      <c r="E35" s="491"/>
      <c r="F35" s="491"/>
      <c r="G35" s="491"/>
      <c r="H35" s="491"/>
      <c r="I35" s="491"/>
      <c r="J35" s="491"/>
      <c r="K35" s="491"/>
      <c r="L35" s="491"/>
      <c r="M35" s="491"/>
      <c r="N35" s="491"/>
      <c r="O35" s="491"/>
      <c r="P35" s="492"/>
    </row>
    <row r="36" spans="1:16" x14ac:dyDescent="0.35">
      <c r="A36" s="527" t="s">
        <v>297</v>
      </c>
      <c r="B36" s="528"/>
      <c r="C36" s="528"/>
      <c r="D36" s="528"/>
      <c r="E36" s="528"/>
      <c r="F36" s="528"/>
      <c r="G36" s="528"/>
      <c r="H36" s="528"/>
      <c r="I36" s="528"/>
      <c r="J36" s="528"/>
      <c r="K36" s="528"/>
      <c r="L36" s="528"/>
      <c r="M36" s="528"/>
      <c r="N36" s="528"/>
      <c r="O36" s="528"/>
      <c r="P36" s="529"/>
    </row>
    <row r="37" spans="1:16" x14ac:dyDescent="0.35">
      <c r="A37" s="475" t="s">
        <v>300</v>
      </c>
      <c r="B37" s="476"/>
      <c r="C37" s="476"/>
      <c r="D37" s="476"/>
      <c r="E37" s="476"/>
      <c r="F37" s="476"/>
      <c r="G37" s="476"/>
      <c r="H37" s="476"/>
      <c r="I37" s="476"/>
      <c r="J37" s="476"/>
      <c r="K37" s="476"/>
      <c r="L37" s="476"/>
      <c r="M37" s="476"/>
      <c r="N37" s="476"/>
      <c r="O37" s="476"/>
      <c r="P37" s="477"/>
    </row>
    <row r="38" spans="1:16" x14ac:dyDescent="0.35">
      <c r="A38" s="475" t="s">
        <v>301</v>
      </c>
      <c r="B38" s="476"/>
      <c r="C38" s="476"/>
      <c r="D38" s="476"/>
      <c r="E38" s="476"/>
      <c r="F38" s="476"/>
      <c r="G38" s="476"/>
      <c r="H38" s="476"/>
      <c r="I38" s="476"/>
      <c r="J38" s="476"/>
      <c r="K38" s="476"/>
      <c r="L38" s="476"/>
      <c r="M38" s="476"/>
      <c r="N38" s="476"/>
      <c r="O38" s="476"/>
      <c r="P38" s="477"/>
    </row>
    <row r="40" spans="1:16" x14ac:dyDescent="0.35">
      <c r="B40" s="1" t="s">
        <v>274</v>
      </c>
      <c r="D40" s="281">
        <f>+D9</f>
        <v>8142.25</v>
      </c>
      <c r="E40" s="283">
        <f t="shared" ref="E40:E46" si="4">+D40/32</f>
        <v>254.4453125</v>
      </c>
    </row>
    <row r="41" spans="1:16" x14ac:dyDescent="0.35">
      <c r="B41" s="1" t="s">
        <v>275</v>
      </c>
      <c r="D41" s="281">
        <f>+D10</f>
        <v>432.57000000000005</v>
      </c>
      <c r="E41" s="283">
        <f t="shared" si="4"/>
        <v>13.517812500000002</v>
      </c>
    </row>
    <row r="42" spans="1:16" x14ac:dyDescent="0.35">
      <c r="B42" s="1" t="s">
        <v>276</v>
      </c>
      <c r="D42" s="281">
        <f>+D11</f>
        <v>8799.75</v>
      </c>
      <c r="E42" s="283">
        <f t="shared" si="4"/>
        <v>274.9921875</v>
      </c>
    </row>
    <row r="43" spans="1:16" x14ac:dyDescent="0.35">
      <c r="B43" s="1" t="s">
        <v>4</v>
      </c>
      <c r="D43" s="281">
        <f>+D13</f>
        <v>790.7</v>
      </c>
      <c r="E43" s="283">
        <f t="shared" si="4"/>
        <v>24.709375000000001</v>
      </c>
    </row>
    <row r="44" spans="1:16" x14ac:dyDescent="0.35">
      <c r="B44" s="1" t="s">
        <v>15</v>
      </c>
      <c r="D44" s="281">
        <f>+D17+D18</f>
        <v>740.70999999999992</v>
      </c>
      <c r="E44" s="283">
        <f t="shared" si="4"/>
        <v>23.147187499999998</v>
      </c>
    </row>
    <row r="45" spans="1:16" x14ac:dyDescent="0.35">
      <c r="B45" s="1" t="s">
        <v>222</v>
      </c>
      <c r="D45" s="282">
        <f>+D15+D20+D21+D22+D23</f>
        <v>583.17999999999995</v>
      </c>
      <c r="E45" s="284">
        <f t="shared" si="4"/>
        <v>18.224374999999998</v>
      </c>
    </row>
    <row r="46" spans="1:16" x14ac:dyDescent="0.35">
      <c r="D46" s="281">
        <f>SUM(D40:D45)</f>
        <v>19489.16</v>
      </c>
      <c r="E46" s="283">
        <f t="shared" si="4"/>
        <v>609.03625</v>
      </c>
    </row>
    <row r="58" spans="2:5" x14ac:dyDescent="0.35">
      <c r="C58" s="317"/>
      <c r="E58" s="263"/>
    </row>
    <row r="59" spans="2:5" ht="32.25" customHeight="1" x14ac:dyDescent="0.35">
      <c r="B59" s="318"/>
      <c r="C59" s="319"/>
      <c r="D59" s="320"/>
      <c r="E59" s="263"/>
    </row>
    <row r="60" spans="2:5" x14ac:dyDescent="0.35">
      <c r="B60" s="321"/>
      <c r="C60" s="322"/>
      <c r="D60" s="60"/>
      <c r="E60" s="263"/>
    </row>
    <row r="61" spans="2:5" x14ac:dyDescent="0.35">
      <c r="B61" s="323"/>
      <c r="C61" s="324"/>
      <c r="D61" s="60"/>
      <c r="E61" s="263"/>
    </row>
    <row r="62" spans="2:5" x14ac:dyDescent="0.35">
      <c r="B62" s="323"/>
      <c r="C62" s="324"/>
      <c r="D62" s="60"/>
      <c r="E62" s="263"/>
    </row>
    <row r="63" spans="2:5" x14ac:dyDescent="0.35">
      <c r="B63" s="323"/>
      <c r="C63" s="324"/>
      <c r="D63" s="60"/>
      <c r="E63" s="263"/>
    </row>
    <row r="64" spans="2:5" x14ac:dyDescent="0.35">
      <c r="B64" s="323"/>
      <c r="C64" s="324"/>
      <c r="D64" s="60"/>
      <c r="E64" s="263"/>
    </row>
    <row r="65" spans="2:5" x14ac:dyDescent="0.35">
      <c r="B65" s="321"/>
      <c r="C65" s="322"/>
      <c r="D65" s="60"/>
      <c r="E65" s="263"/>
    </row>
    <row r="66" spans="2:5" x14ac:dyDescent="0.35">
      <c r="B66" s="323"/>
      <c r="C66" s="324"/>
      <c r="D66" s="60"/>
      <c r="E66" s="263"/>
    </row>
    <row r="67" spans="2:5" x14ac:dyDescent="0.35">
      <c r="B67" s="323"/>
      <c r="C67" s="324"/>
      <c r="D67" s="60"/>
      <c r="E67" s="263"/>
    </row>
    <row r="68" spans="2:5" x14ac:dyDescent="0.35">
      <c r="B68" s="323"/>
      <c r="C68" s="324"/>
      <c r="D68" s="60"/>
      <c r="E68" s="263"/>
    </row>
    <row r="69" spans="2:5" x14ac:dyDescent="0.35">
      <c r="B69" s="323"/>
      <c r="C69" s="324"/>
      <c r="D69" s="60"/>
      <c r="E69" s="263"/>
    </row>
    <row r="70" spans="2:5" x14ac:dyDescent="0.35">
      <c r="B70" s="323"/>
      <c r="C70" s="324"/>
      <c r="D70" s="60"/>
      <c r="E70" s="263"/>
    </row>
    <row r="71" spans="2:5" x14ac:dyDescent="0.35">
      <c r="B71" s="323"/>
      <c r="C71" s="324"/>
      <c r="D71" s="60"/>
      <c r="E71" s="263"/>
    </row>
    <row r="72" spans="2:5" x14ac:dyDescent="0.35">
      <c r="B72" s="524"/>
      <c r="C72" s="524"/>
      <c r="E72" s="263"/>
    </row>
    <row r="73" spans="2:5" x14ac:dyDescent="0.35">
      <c r="B73" s="321"/>
      <c r="C73" s="322"/>
      <c r="D73" s="322"/>
      <c r="E73" s="263"/>
    </row>
    <row r="74" spans="2:5" x14ac:dyDescent="0.35">
      <c r="B74" s="323"/>
      <c r="C74" s="324"/>
      <c r="D74" s="325"/>
      <c r="E74" s="263"/>
    </row>
    <row r="75" spans="2:5" x14ac:dyDescent="0.35">
      <c r="B75" s="323"/>
      <c r="C75" s="324"/>
      <c r="D75" s="325"/>
      <c r="E75" s="263"/>
    </row>
    <row r="76" spans="2:5" x14ac:dyDescent="0.35">
      <c r="B76" s="323"/>
      <c r="C76" s="324"/>
      <c r="D76" s="325"/>
      <c r="E76" s="263"/>
    </row>
    <row r="77" spans="2:5" x14ac:dyDescent="0.35">
      <c r="B77" s="323"/>
      <c r="C77" s="324"/>
      <c r="D77" s="325"/>
      <c r="E77" s="263"/>
    </row>
    <row r="78" spans="2:5" x14ac:dyDescent="0.35">
      <c r="B78" s="323"/>
      <c r="C78" s="324"/>
      <c r="D78" s="325"/>
      <c r="E78" s="263"/>
    </row>
    <row r="79" spans="2:5" x14ac:dyDescent="0.35">
      <c r="B79" s="323"/>
      <c r="C79" s="324"/>
      <c r="D79" s="325"/>
      <c r="E79" s="263"/>
    </row>
    <row r="80" spans="2:5" x14ac:dyDescent="0.35">
      <c r="B80" s="323"/>
      <c r="C80" s="324"/>
      <c r="D80" s="325"/>
      <c r="E80" s="263"/>
    </row>
    <row r="81" spans="2:5" x14ac:dyDescent="0.35">
      <c r="B81" s="323"/>
      <c r="C81" s="324"/>
      <c r="D81" s="325"/>
      <c r="E81" s="263"/>
    </row>
    <row r="82" spans="2:5" x14ac:dyDescent="0.35">
      <c r="B82" s="323"/>
      <c r="C82" s="324"/>
      <c r="D82" s="325"/>
      <c r="E82" s="263"/>
    </row>
    <row r="83" spans="2:5" x14ac:dyDescent="0.35">
      <c r="B83" s="323"/>
      <c r="C83" s="324"/>
      <c r="D83" s="325"/>
      <c r="E83" s="263"/>
    </row>
    <row r="84" spans="2:5" x14ac:dyDescent="0.35">
      <c r="B84" s="323"/>
      <c r="C84" s="324"/>
      <c r="D84" s="325"/>
      <c r="E84" s="263"/>
    </row>
    <row r="85" spans="2:5" x14ac:dyDescent="0.35">
      <c r="B85" s="323"/>
      <c r="C85" s="324"/>
      <c r="D85" s="325"/>
      <c r="E85" s="263"/>
    </row>
    <row r="86" spans="2:5" x14ac:dyDescent="0.35">
      <c r="B86" s="323"/>
      <c r="C86" s="324"/>
      <c r="D86" s="325"/>
      <c r="E86" s="263"/>
    </row>
    <row r="87" spans="2:5" x14ac:dyDescent="0.35">
      <c r="C87" s="326"/>
      <c r="D87" s="326"/>
      <c r="E87" s="263"/>
    </row>
    <row r="88" spans="2:5" x14ac:dyDescent="0.35">
      <c r="C88" s="317"/>
      <c r="E88" s="263"/>
    </row>
    <row r="89" spans="2:5" x14ac:dyDescent="0.35">
      <c r="C89" s="317"/>
      <c r="E89" s="263"/>
    </row>
  </sheetData>
  <mergeCells count="10">
    <mergeCell ref="B72:C72"/>
    <mergeCell ref="A37:P37"/>
    <mergeCell ref="A38:P38"/>
    <mergeCell ref="A1:B1"/>
    <mergeCell ref="A33:P35"/>
    <mergeCell ref="A30:P30"/>
    <mergeCell ref="A36:P36"/>
    <mergeCell ref="A31:P31"/>
    <mergeCell ref="A32:P32"/>
    <mergeCell ref="E27:O27"/>
  </mergeCells>
  <conditionalFormatting sqref="D27:D28">
    <cfRule type="cellIs" dxfId="3" priority="1" operator="lessThan">
      <formula>0</formula>
    </cfRule>
  </conditionalFormatting>
  <pageMargins left="0.45" right="0.45" top="0.75" bottom="0.75" header="0.3" footer="0.3"/>
  <pageSetup scale="60" orientation="landscape" horizontalDpi="4294967293" r:id="rId1"/>
  <drawing r:id="rId2"/>
  <legacy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0000"/>
    <pageSetUpPr fitToPage="1"/>
  </sheetPr>
  <dimension ref="A1:X74"/>
  <sheetViews>
    <sheetView zoomScaleNormal="100" workbookViewId="0">
      <pane xSplit="1" ySplit="5" topLeftCell="B57" activePane="bottomRight" state="frozen"/>
      <selection pane="topRight" activeCell="B1" sqref="B1"/>
      <selection pane="bottomLeft" activeCell="A6" sqref="A6"/>
      <selection pane="bottomRight" activeCell="M64" sqref="M64"/>
    </sheetView>
  </sheetViews>
  <sheetFormatPr defaultRowHeight="14.5" x14ac:dyDescent="0.35"/>
  <cols>
    <col min="1" max="1" width="10" customWidth="1"/>
    <col min="2" max="2" width="11.6328125" customWidth="1"/>
    <col min="3" max="3" width="21.6328125" customWidth="1"/>
    <col min="4" max="4" width="8.6328125" customWidth="1"/>
    <col min="5" max="5" width="10.6328125" customWidth="1"/>
    <col min="6" max="12" width="9.6328125" customWidth="1"/>
    <col min="13" max="13" width="32.54296875" customWidth="1"/>
    <col min="14" max="14" width="10.08984375" bestFit="1" customWidth="1"/>
  </cols>
  <sheetData>
    <row r="1" spans="1:15" ht="18.5" x14ac:dyDescent="0.45">
      <c r="A1" s="110">
        <v>2020</v>
      </c>
      <c r="B1" s="110" t="s">
        <v>92</v>
      </c>
      <c r="M1" s="115" t="s">
        <v>57</v>
      </c>
      <c r="N1" s="101">
        <f>+'2019 Ck Reg'!N65</f>
        <v>17009.91</v>
      </c>
      <c r="O1" s="101"/>
    </row>
    <row r="2" spans="1:15" x14ac:dyDescent="0.35">
      <c r="A2" t="s">
        <v>1</v>
      </c>
      <c r="N2" s="112"/>
    </row>
    <row r="3" spans="1:15" x14ac:dyDescent="0.35">
      <c r="N3" s="101"/>
    </row>
    <row r="4" spans="1:15" x14ac:dyDescent="0.35">
      <c r="A4" s="109" t="s">
        <v>196</v>
      </c>
      <c r="N4" s="101"/>
    </row>
    <row r="5" spans="1:15" x14ac:dyDescent="0.35">
      <c r="A5" s="108" t="s">
        <v>76</v>
      </c>
      <c r="B5" s="109" t="s">
        <v>77</v>
      </c>
      <c r="C5" s="109" t="s">
        <v>106</v>
      </c>
      <c r="D5" s="109" t="s">
        <v>254</v>
      </c>
      <c r="E5" s="108" t="s">
        <v>78</v>
      </c>
      <c r="F5" s="108" t="s">
        <v>94</v>
      </c>
      <c r="G5" s="108" t="s">
        <v>95</v>
      </c>
      <c r="H5" s="108" t="s">
        <v>79</v>
      </c>
      <c r="I5" s="108" t="s">
        <v>96</v>
      </c>
      <c r="J5" s="108" t="s">
        <v>80</v>
      </c>
      <c r="K5" s="108" t="s">
        <v>81</v>
      </c>
      <c r="L5" s="108" t="s">
        <v>82</v>
      </c>
      <c r="M5" s="108" t="s">
        <v>97</v>
      </c>
      <c r="N5" s="111" t="s">
        <v>93</v>
      </c>
    </row>
    <row r="6" spans="1:15" x14ac:dyDescent="0.35">
      <c r="A6" s="310">
        <v>43832</v>
      </c>
      <c r="B6" s="101">
        <v>-4</v>
      </c>
      <c r="C6" s="101" t="s">
        <v>86</v>
      </c>
      <c r="D6" s="201" t="s">
        <v>154</v>
      </c>
      <c r="E6" s="101"/>
      <c r="F6" s="101"/>
      <c r="G6" s="101"/>
      <c r="H6" s="101"/>
      <c r="I6" s="101"/>
      <c r="J6" s="101">
        <f>+B6</f>
        <v>-4</v>
      </c>
      <c r="K6" s="101"/>
      <c r="L6" s="101"/>
      <c r="M6" s="101"/>
      <c r="N6" s="101">
        <f>+N1+SUM(E6:L6)</f>
        <v>17005.91</v>
      </c>
    </row>
    <row r="7" spans="1:15" x14ac:dyDescent="0.35">
      <c r="A7" s="105">
        <v>43843</v>
      </c>
      <c r="B7" s="101">
        <v>-550</v>
      </c>
      <c r="C7" s="101" t="s">
        <v>337</v>
      </c>
      <c r="D7" s="201">
        <v>1050</v>
      </c>
      <c r="E7" s="101"/>
      <c r="F7" s="101"/>
      <c r="G7" s="101">
        <f>+B7</f>
        <v>-550</v>
      </c>
      <c r="H7" s="101"/>
      <c r="I7" s="101"/>
      <c r="J7" s="101"/>
      <c r="K7" s="101"/>
      <c r="L7" s="101"/>
      <c r="M7" s="101"/>
      <c r="N7" s="101">
        <f>+N6+SUM(E7:L7)</f>
        <v>16455.91</v>
      </c>
    </row>
    <row r="8" spans="1:15" x14ac:dyDescent="0.35">
      <c r="A8" s="105">
        <v>43852</v>
      </c>
      <c r="B8" s="101">
        <v>-101.85</v>
      </c>
      <c r="C8" s="101" t="s">
        <v>5</v>
      </c>
      <c r="D8" s="201" t="s">
        <v>154</v>
      </c>
      <c r="E8" s="101"/>
      <c r="F8" s="101">
        <f>+B8</f>
        <v>-101.85</v>
      </c>
      <c r="G8" s="101"/>
      <c r="H8" s="101"/>
      <c r="I8" s="101"/>
      <c r="J8" s="101"/>
      <c r="K8" s="101"/>
      <c r="L8" s="101"/>
      <c r="M8" s="101"/>
      <c r="N8" s="112">
        <f>+N7+SUM(E8:L8)</f>
        <v>16354.06</v>
      </c>
      <c r="O8" s="365" t="s">
        <v>326</v>
      </c>
    </row>
    <row r="9" spans="1:15" x14ac:dyDescent="0.35">
      <c r="A9" s="105">
        <v>43866</v>
      </c>
      <c r="B9" s="101">
        <v>-4</v>
      </c>
      <c r="C9" s="101" t="s">
        <v>86</v>
      </c>
      <c r="D9" s="201" t="s">
        <v>154</v>
      </c>
      <c r="E9" s="101"/>
      <c r="F9" s="101"/>
      <c r="G9" s="101"/>
      <c r="H9" s="101"/>
      <c r="I9" s="101"/>
      <c r="J9" s="101">
        <f>+B9</f>
        <v>-4</v>
      </c>
      <c r="K9" s="101"/>
      <c r="L9" s="101"/>
      <c r="M9" s="101"/>
      <c r="N9" s="101">
        <f>+N8+SUM(E9:L9)</f>
        <v>16350.06</v>
      </c>
    </row>
    <row r="10" spans="1:15" x14ac:dyDescent="0.35">
      <c r="A10" s="105">
        <v>43875</v>
      </c>
      <c r="B10" s="101">
        <v>-550</v>
      </c>
      <c r="C10" s="101" t="s">
        <v>338</v>
      </c>
      <c r="D10" s="201">
        <v>1001</v>
      </c>
      <c r="E10" s="101"/>
      <c r="F10" s="101"/>
      <c r="G10" s="101">
        <f>+B10</f>
        <v>-550</v>
      </c>
      <c r="H10" s="101"/>
      <c r="I10" s="101"/>
      <c r="J10" s="101"/>
      <c r="K10" s="101"/>
      <c r="L10" s="101"/>
      <c r="M10" s="101"/>
      <c r="N10" s="101">
        <f t="shared" ref="N10:N66" si="0">+N9+SUM(E10:L10)</f>
        <v>15800.06</v>
      </c>
    </row>
    <row r="11" spans="1:15" x14ac:dyDescent="0.35">
      <c r="A11" s="105">
        <v>43875</v>
      </c>
      <c r="B11" s="101">
        <v>-2000</v>
      </c>
      <c r="C11" s="101" t="s">
        <v>269</v>
      </c>
      <c r="D11" s="201">
        <v>1002</v>
      </c>
      <c r="E11" s="101"/>
      <c r="F11" s="101"/>
      <c r="G11" s="101"/>
      <c r="H11" s="101"/>
      <c r="I11" s="101"/>
      <c r="J11" s="101"/>
      <c r="K11" s="101"/>
      <c r="L11" s="101">
        <f>+B11</f>
        <v>-2000</v>
      </c>
      <c r="M11" s="101" t="s">
        <v>333</v>
      </c>
      <c r="N11" s="101">
        <f t="shared" si="0"/>
        <v>13800.06</v>
      </c>
    </row>
    <row r="12" spans="1:15" x14ac:dyDescent="0.35">
      <c r="A12" s="105">
        <v>43881</v>
      </c>
      <c r="B12" s="101">
        <v>-110.1</v>
      </c>
      <c r="C12" s="101" t="s">
        <v>16</v>
      </c>
      <c r="D12" s="201">
        <v>1003</v>
      </c>
      <c r="E12" s="101"/>
      <c r="F12" s="101"/>
      <c r="G12" s="101"/>
      <c r="H12" s="101">
        <f>+B12</f>
        <v>-110.1</v>
      </c>
      <c r="I12" s="101"/>
      <c r="J12" s="101"/>
      <c r="K12" s="101"/>
      <c r="L12" s="101"/>
      <c r="M12" s="101"/>
      <c r="N12" s="101">
        <f t="shared" si="0"/>
        <v>13689.96</v>
      </c>
    </row>
    <row r="13" spans="1:15" x14ac:dyDescent="0.35">
      <c r="A13" s="105">
        <v>43882</v>
      </c>
      <c r="B13" s="101">
        <v>3440</v>
      </c>
      <c r="C13" s="101" t="s">
        <v>78</v>
      </c>
      <c r="D13" s="201" t="s">
        <v>259</v>
      </c>
      <c r="E13" s="101">
        <f>+B13</f>
        <v>3440</v>
      </c>
      <c r="F13" s="101"/>
      <c r="G13" s="101"/>
      <c r="H13" s="101"/>
      <c r="I13" s="101"/>
      <c r="J13" s="101"/>
      <c r="K13" s="101"/>
      <c r="L13" s="101"/>
      <c r="M13" s="101"/>
      <c r="N13" s="101">
        <f t="shared" si="0"/>
        <v>17129.96</v>
      </c>
    </row>
    <row r="14" spans="1:15" x14ac:dyDescent="0.35">
      <c r="A14" s="105">
        <v>43885</v>
      </c>
      <c r="B14" s="101">
        <v>-86.08</v>
      </c>
      <c r="C14" s="101" t="s">
        <v>5</v>
      </c>
      <c r="D14" s="201" t="s">
        <v>154</v>
      </c>
      <c r="E14" s="101"/>
      <c r="F14" s="101">
        <f>+B14</f>
        <v>-86.08</v>
      </c>
      <c r="G14" s="101"/>
      <c r="H14" s="101"/>
      <c r="I14" s="101"/>
      <c r="J14" s="101"/>
      <c r="K14" s="101"/>
      <c r="L14" s="101"/>
      <c r="M14" s="101"/>
      <c r="N14" s="101">
        <f t="shared" si="0"/>
        <v>17043.879999999997</v>
      </c>
    </row>
    <row r="15" spans="1:15" x14ac:dyDescent="0.35">
      <c r="A15" s="105">
        <v>43887</v>
      </c>
      <c r="B15" s="101">
        <v>-430</v>
      </c>
      <c r="C15" s="101" t="s">
        <v>329</v>
      </c>
      <c r="D15" s="201" t="s">
        <v>154</v>
      </c>
      <c r="E15" s="101">
        <f>+B15</f>
        <v>-430</v>
      </c>
      <c r="F15" s="101"/>
      <c r="G15" s="101"/>
      <c r="H15" s="101"/>
      <c r="I15" s="101"/>
      <c r="J15" s="101"/>
      <c r="K15" s="101"/>
      <c r="L15" s="101"/>
      <c r="M15" s="101"/>
      <c r="N15" s="101">
        <f t="shared" si="0"/>
        <v>16613.879999999997</v>
      </c>
    </row>
    <row r="16" spans="1:15" x14ac:dyDescent="0.35">
      <c r="A16" s="105">
        <v>43887</v>
      </c>
      <c r="B16" s="101">
        <v>-9</v>
      </c>
      <c r="C16" s="101" t="s">
        <v>330</v>
      </c>
      <c r="D16" s="201" t="s">
        <v>154</v>
      </c>
      <c r="E16" s="101"/>
      <c r="F16" s="101"/>
      <c r="G16" s="101"/>
      <c r="H16" s="101"/>
      <c r="I16" s="101"/>
      <c r="J16" s="101">
        <f>+B16</f>
        <v>-9</v>
      </c>
      <c r="K16" s="101"/>
      <c r="L16" s="101"/>
      <c r="M16" s="101"/>
      <c r="N16" s="101">
        <f t="shared" si="0"/>
        <v>16604.879999999997</v>
      </c>
    </row>
    <row r="17" spans="1:15" x14ac:dyDescent="0.35">
      <c r="A17" s="105">
        <v>43889</v>
      </c>
      <c r="B17" s="101">
        <v>9</v>
      </c>
      <c r="C17" s="101" t="s">
        <v>331</v>
      </c>
      <c r="D17" s="201" t="s">
        <v>259</v>
      </c>
      <c r="E17" s="101"/>
      <c r="F17" s="101"/>
      <c r="G17" s="101"/>
      <c r="H17" s="101"/>
      <c r="I17" s="101"/>
      <c r="J17" s="101">
        <f>+B17</f>
        <v>9</v>
      </c>
      <c r="K17" s="101"/>
      <c r="L17" s="101"/>
      <c r="M17" s="101"/>
      <c r="N17" s="101">
        <f t="shared" si="0"/>
        <v>16613.879999999997</v>
      </c>
    </row>
    <row r="18" spans="1:15" x14ac:dyDescent="0.35">
      <c r="A18" s="105">
        <v>43889</v>
      </c>
      <c r="B18" s="101">
        <v>3010</v>
      </c>
      <c r="C18" s="101" t="s">
        <v>78</v>
      </c>
      <c r="D18" s="201" t="s">
        <v>259</v>
      </c>
      <c r="E18" s="101">
        <f>+B18</f>
        <v>3010</v>
      </c>
      <c r="F18" s="101"/>
      <c r="G18" s="101"/>
      <c r="H18" s="101"/>
      <c r="I18" s="101"/>
      <c r="J18" s="101"/>
      <c r="K18" s="101"/>
      <c r="L18" s="101"/>
      <c r="M18" s="101"/>
      <c r="N18" s="112">
        <f t="shared" si="0"/>
        <v>19623.879999999997</v>
      </c>
      <c r="O18" s="365" t="s">
        <v>332</v>
      </c>
    </row>
    <row r="19" spans="1:15" x14ac:dyDescent="0.35">
      <c r="A19" s="105">
        <v>43892</v>
      </c>
      <c r="B19" s="101">
        <v>-4</v>
      </c>
      <c r="C19" s="101" t="s">
        <v>86</v>
      </c>
      <c r="D19" s="201" t="s">
        <v>154</v>
      </c>
      <c r="E19" s="101"/>
      <c r="F19" s="101"/>
      <c r="G19" s="101"/>
      <c r="H19" s="101"/>
      <c r="I19" s="101"/>
      <c r="J19" s="101">
        <f>+B19</f>
        <v>-4</v>
      </c>
      <c r="K19" s="101"/>
      <c r="L19" s="101"/>
      <c r="M19" s="101"/>
      <c r="N19" s="101">
        <f t="shared" si="0"/>
        <v>19619.879999999997</v>
      </c>
    </row>
    <row r="20" spans="1:15" x14ac:dyDescent="0.35">
      <c r="A20" s="105">
        <v>43896</v>
      </c>
      <c r="B20" s="101">
        <v>2150</v>
      </c>
      <c r="C20" s="101" t="s">
        <v>78</v>
      </c>
      <c r="D20" s="201" t="s">
        <v>259</v>
      </c>
      <c r="E20" s="101">
        <v>2150</v>
      </c>
      <c r="F20" s="101"/>
      <c r="G20" s="101"/>
      <c r="H20" s="101"/>
      <c r="I20" s="101"/>
      <c r="J20" s="101"/>
      <c r="K20" s="101"/>
      <c r="L20" s="101"/>
      <c r="M20" s="101"/>
      <c r="N20" s="101">
        <f t="shared" si="0"/>
        <v>21769.879999999997</v>
      </c>
    </row>
    <row r="21" spans="1:15" x14ac:dyDescent="0.35">
      <c r="A21" s="105">
        <v>43909</v>
      </c>
      <c r="B21" s="101">
        <v>3870</v>
      </c>
      <c r="C21" s="101" t="s">
        <v>78</v>
      </c>
      <c r="D21" s="201" t="s">
        <v>259</v>
      </c>
      <c r="E21" s="101">
        <f>+B21</f>
        <v>3870</v>
      </c>
      <c r="F21" s="101"/>
      <c r="G21" s="101"/>
      <c r="H21" s="101"/>
      <c r="I21" s="101"/>
      <c r="J21" s="101"/>
      <c r="K21" s="101"/>
      <c r="L21" s="101"/>
      <c r="M21" s="101"/>
      <c r="N21" s="101">
        <f t="shared" si="0"/>
        <v>25639.879999999997</v>
      </c>
    </row>
    <row r="22" spans="1:15" x14ac:dyDescent="0.35">
      <c r="A22" s="105">
        <v>43913</v>
      </c>
      <c r="B22" s="101">
        <v>1720</v>
      </c>
      <c r="C22" s="101" t="s">
        <v>78</v>
      </c>
      <c r="D22" s="201" t="s">
        <v>259</v>
      </c>
      <c r="E22" s="101">
        <f>+B22</f>
        <v>1720</v>
      </c>
      <c r="F22" s="101"/>
      <c r="G22" s="101"/>
      <c r="H22" s="101"/>
      <c r="I22" s="101"/>
      <c r="J22" s="101"/>
      <c r="K22" s="101"/>
      <c r="L22" s="101"/>
      <c r="M22" s="101"/>
      <c r="N22" s="101">
        <f t="shared" si="0"/>
        <v>27359.879999999997</v>
      </c>
    </row>
    <row r="23" spans="1:15" x14ac:dyDescent="0.35">
      <c r="A23" s="105">
        <v>43892</v>
      </c>
      <c r="B23" s="101">
        <v>0</v>
      </c>
      <c r="C23" s="101" t="s">
        <v>334</v>
      </c>
      <c r="D23" s="201">
        <v>1004</v>
      </c>
      <c r="E23" s="101"/>
      <c r="F23" s="101"/>
      <c r="G23" s="101"/>
      <c r="H23" s="101"/>
      <c r="I23" s="101"/>
      <c r="J23" s="101"/>
      <c r="K23" s="101"/>
      <c r="L23" s="101"/>
      <c r="M23" s="101"/>
      <c r="N23" s="101">
        <f t="shared" si="0"/>
        <v>27359.879999999997</v>
      </c>
    </row>
    <row r="24" spans="1:15" x14ac:dyDescent="0.35">
      <c r="A24" s="105">
        <v>43914</v>
      </c>
      <c r="B24" s="101">
        <v>-86.08</v>
      </c>
      <c r="C24" s="101" t="s">
        <v>5</v>
      </c>
      <c r="D24" s="201" t="s">
        <v>154</v>
      </c>
      <c r="E24" s="101"/>
      <c r="F24" s="101">
        <f>+B24</f>
        <v>-86.08</v>
      </c>
      <c r="G24" s="101"/>
      <c r="H24" s="101"/>
      <c r="I24" s="101"/>
      <c r="J24" s="101"/>
      <c r="K24" s="101"/>
      <c r="L24" s="101"/>
      <c r="M24" s="101"/>
      <c r="N24" s="101">
        <f t="shared" si="0"/>
        <v>27273.799999999996</v>
      </c>
    </row>
    <row r="25" spans="1:15" x14ac:dyDescent="0.35">
      <c r="A25" s="105">
        <v>43914</v>
      </c>
      <c r="B25" s="101">
        <v>-35</v>
      </c>
      <c r="C25" s="101" t="s">
        <v>86</v>
      </c>
      <c r="D25" s="201" t="s">
        <v>154</v>
      </c>
      <c r="E25" s="101"/>
      <c r="F25" s="101"/>
      <c r="G25" s="101"/>
      <c r="H25" s="101"/>
      <c r="I25" s="101"/>
      <c r="J25" s="101">
        <f>+B25</f>
        <v>-35</v>
      </c>
      <c r="K25" s="101"/>
      <c r="L25" s="101"/>
      <c r="M25" s="101" t="s">
        <v>335</v>
      </c>
      <c r="N25" s="112">
        <f t="shared" si="0"/>
        <v>27238.799999999996</v>
      </c>
      <c r="O25" s="365" t="s">
        <v>336</v>
      </c>
    </row>
    <row r="26" spans="1:15" x14ac:dyDescent="0.35">
      <c r="A26" s="105">
        <v>43915</v>
      </c>
      <c r="B26" s="101">
        <v>0</v>
      </c>
      <c r="C26" s="101" t="s">
        <v>334</v>
      </c>
      <c r="D26" s="201">
        <v>1005</v>
      </c>
      <c r="E26" s="101"/>
      <c r="F26" s="101"/>
      <c r="G26" s="101"/>
      <c r="H26" s="101"/>
      <c r="I26" s="101"/>
      <c r="J26" s="101"/>
      <c r="K26" s="101"/>
      <c r="L26" s="101"/>
      <c r="M26" s="101"/>
      <c r="N26" s="101">
        <f t="shared" si="0"/>
        <v>27238.799999999996</v>
      </c>
      <c r="O26" s="365"/>
    </row>
    <row r="27" spans="1:15" x14ac:dyDescent="0.35">
      <c r="A27" s="105">
        <v>43923</v>
      </c>
      <c r="B27" s="101">
        <v>-4</v>
      </c>
      <c r="C27" s="101" t="s">
        <v>86</v>
      </c>
      <c r="D27" s="201" t="s">
        <v>154</v>
      </c>
      <c r="E27" s="101"/>
      <c r="F27" s="101"/>
      <c r="G27" s="101"/>
      <c r="H27" s="101"/>
      <c r="I27" s="101"/>
      <c r="J27" s="101">
        <f>+B27</f>
        <v>-4</v>
      </c>
      <c r="K27" s="101"/>
      <c r="L27" s="101"/>
      <c r="M27" s="101"/>
      <c r="N27" s="101">
        <f t="shared" si="0"/>
        <v>27234.799999999996</v>
      </c>
    </row>
    <row r="28" spans="1:15" x14ac:dyDescent="0.35">
      <c r="A28" s="105">
        <v>43930</v>
      </c>
      <c r="B28" s="101">
        <v>-550</v>
      </c>
      <c r="C28" s="101" t="s">
        <v>339</v>
      </c>
      <c r="D28" s="201">
        <v>1006</v>
      </c>
      <c r="E28" s="101"/>
      <c r="F28" s="101"/>
      <c r="G28" s="101">
        <f>+B28</f>
        <v>-550</v>
      </c>
      <c r="H28" s="101"/>
      <c r="I28" s="101"/>
      <c r="J28" s="101"/>
      <c r="K28" s="101"/>
      <c r="L28" s="101"/>
      <c r="M28" s="101"/>
      <c r="N28" s="101">
        <f t="shared" si="0"/>
        <v>26684.799999999996</v>
      </c>
    </row>
    <row r="29" spans="1:15" x14ac:dyDescent="0.35">
      <c r="A29" s="105">
        <v>43935</v>
      </c>
      <c r="B29" s="101">
        <v>0</v>
      </c>
      <c r="C29" s="101" t="s">
        <v>342</v>
      </c>
      <c r="D29" s="201">
        <v>1007</v>
      </c>
      <c r="E29" s="101"/>
      <c r="F29" s="101"/>
      <c r="G29" s="101"/>
      <c r="H29" s="101"/>
      <c r="I29" s="101"/>
      <c r="J29" s="101"/>
      <c r="K29" s="101"/>
      <c r="L29" s="101"/>
      <c r="M29" s="101"/>
      <c r="N29" s="101">
        <f t="shared" si="0"/>
        <v>26684.799999999996</v>
      </c>
    </row>
    <row r="30" spans="1:15" x14ac:dyDescent="0.35">
      <c r="A30" s="105">
        <v>43935</v>
      </c>
      <c r="B30" s="101">
        <v>-112.94</v>
      </c>
      <c r="C30" s="101" t="s">
        <v>16</v>
      </c>
      <c r="D30" s="201" t="s">
        <v>154</v>
      </c>
      <c r="E30" s="101"/>
      <c r="F30" s="101"/>
      <c r="G30" s="101"/>
      <c r="H30" s="101">
        <f>+B30</f>
        <v>-112.94</v>
      </c>
      <c r="I30" s="101"/>
      <c r="J30" s="101"/>
      <c r="K30" s="101"/>
      <c r="L30" s="101"/>
      <c r="M30" s="101"/>
      <c r="N30" s="101">
        <f t="shared" si="0"/>
        <v>26571.859999999997</v>
      </c>
    </row>
    <row r="31" spans="1:15" x14ac:dyDescent="0.35">
      <c r="A31" s="105">
        <v>43945</v>
      </c>
      <c r="B31" s="101">
        <v>-86.08</v>
      </c>
      <c r="C31" s="101" t="s">
        <v>5</v>
      </c>
      <c r="D31" s="201" t="s">
        <v>154</v>
      </c>
      <c r="E31" s="101"/>
      <c r="F31" s="101">
        <f>+B31</f>
        <v>-86.08</v>
      </c>
      <c r="G31" s="101"/>
      <c r="H31" s="101"/>
      <c r="I31" s="101"/>
      <c r="J31" s="101"/>
      <c r="K31" s="101"/>
      <c r="L31" s="101"/>
      <c r="M31" s="101"/>
      <c r="N31" s="112">
        <f t="shared" si="0"/>
        <v>26485.779999999995</v>
      </c>
      <c r="O31" s="365" t="s">
        <v>340</v>
      </c>
    </row>
    <row r="32" spans="1:15" x14ac:dyDescent="0.35">
      <c r="A32" s="105">
        <v>43952</v>
      </c>
      <c r="B32" s="101">
        <v>-4</v>
      </c>
      <c r="C32" s="101" t="s">
        <v>86</v>
      </c>
      <c r="D32" s="201" t="s">
        <v>154</v>
      </c>
      <c r="E32" s="101"/>
      <c r="F32" s="101"/>
      <c r="G32" s="101"/>
      <c r="H32" s="101"/>
      <c r="I32" s="101"/>
      <c r="J32" s="101">
        <f>+B32</f>
        <v>-4</v>
      </c>
      <c r="K32" s="101"/>
      <c r="L32" s="101"/>
      <c r="M32" s="101"/>
      <c r="N32" s="101">
        <f t="shared" si="0"/>
        <v>26481.779999999995</v>
      </c>
    </row>
    <row r="33" spans="1:24" x14ac:dyDescent="0.35">
      <c r="A33" s="105">
        <v>43962</v>
      </c>
      <c r="B33" s="101">
        <v>-48.82</v>
      </c>
      <c r="C33" s="101" t="s">
        <v>237</v>
      </c>
      <c r="D33" s="201" t="s">
        <v>154</v>
      </c>
      <c r="E33" s="101"/>
      <c r="F33" s="101"/>
      <c r="G33" s="101"/>
      <c r="H33" s="101"/>
      <c r="I33" s="101"/>
      <c r="J33" s="101"/>
      <c r="K33" s="101"/>
      <c r="L33" s="101">
        <f>+B33</f>
        <v>-48.82</v>
      </c>
      <c r="M33" s="101" t="s">
        <v>341</v>
      </c>
      <c r="N33" s="101">
        <f t="shared" si="0"/>
        <v>26432.959999999995</v>
      </c>
    </row>
    <row r="34" spans="1:24" x14ac:dyDescent="0.35">
      <c r="A34" s="105">
        <v>43962</v>
      </c>
      <c r="B34" s="101">
        <v>-1100</v>
      </c>
      <c r="C34" s="101" t="s">
        <v>269</v>
      </c>
      <c r="D34" s="201">
        <v>1008</v>
      </c>
      <c r="E34" s="101"/>
      <c r="F34" s="101"/>
      <c r="G34" s="101">
        <f>+B34</f>
        <v>-1100</v>
      </c>
      <c r="H34" s="101"/>
      <c r="I34" s="101"/>
      <c r="J34" s="101"/>
      <c r="K34" s="101"/>
      <c r="L34" s="101"/>
      <c r="M34" s="101"/>
      <c r="N34" s="101">
        <f t="shared" si="0"/>
        <v>25332.959999999995</v>
      </c>
    </row>
    <row r="35" spans="1:24" x14ac:dyDescent="0.35">
      <c r="A35" s="105">
        <v>43973</v>
      </c>
      <c r="B35" s="101">
        <v>-86.08</v>
      </c>
      <c r="C35" s="101" t="s">
        <v>5</v>
      </c>
      <c r="D35" s="201" t="s">
        <v>154</v>
      </c>
      <c r="E35" s="107"/>
      <c r="F35" s="101">
        <f>+B35</f>
        <v>-86.08</v>
      </c>
      <c r="G35" s="107"/>
      <c r="H35" s="107"/>
      <c r="I35" s="107"/>
      <c r="J35" s="101"/>
      <c r="K35" s="107"/>
      <c r="L35" s="107"/>
      <c r="M35" s="101"/>
      <c r="N35" s="101">
        <f t="shared" si="0"/>
        <v>25246.879999999994</v>
      </c>
    </row>
    <row r="36" spans="1:24" x14ac:dyDescent="0.35">
      <c r="A36" s="105">
        <v>43978</v>
      </c>
      <c r="B36" s="101">
        <v>-207.57</v>
      </c>
      <c r="C36" s="101" t="s">
        <v>310</v>
      </c>
      <c r="D36" s="201">
        <v>1009</v>
      </c>
      <c r="E36" s="101"/>
      <c r="F36" s="101"/>
      <c r="G36" s="101"/>
      <c r="H36" s="101"/>
      <c r="I36" s="101"/>
      <c r="J36" s="101"/>
      <c r="K36" s="101"/>
      <c r="L36" s="101">
        <f>+B36</f>
        <v>-207.57</v>
      </c>
      <c r="M36" s="101" t="s">
        <v>343</v>
      </c>
      <c r="N36" s="101">
        <f t="shared" si="0"/>
        <v>25039.309999999994</v>
      </c>
      <c r="O36" s="101"/>
      <c r="P36" s="101"/>
      <c r="Q36" s="101"/>
      <c r="R36" s="101"/>
      <c r="S36" s="101"/>
      <c r="T36" s="101"/>
      <c r="U36" s="101"/>
      <c r="V36" s="101"/>
      <c r="W36" s="101"/>
      <c r="X36" s="112"/>
    </row>
    <row r="37" spans="1:24" x14ac:dyDescent="0.35">
      <c r="A37" s="105">
        <v>43980</v>
      </c>
      <c r="B37" s="101">
        <v>-48.46</v>
      </c>
      <c r="C37" s="101" t="s">
        <v>310</v>
      </c>
      <c r="D37" s="201">
        <v>1010</v>
      </c>
      <c r="E37" s="107"/>
      <c r="F37" s="107"/>
      <c r="G37" s="107"/>
      <c r="H37" s="107"/>
      <c r="I37" s="107"/>
      <c r="J37" s="101"/>
      <c r="K37" s="107"/>
      <c r="L37" s="101">
        <f>+B37</f>
        <v>-48.46</v>
      </c>
      <c r="M37" s="101" t="s">
        <v>344</v>
      </c>
      <c r="N37" s="112">
        <f t="shared" si="0"/>
        <v>24990.849999999995</v>
      </c>
      <c r="O37" s="365" t="s">
        <v>345</v>
      </c>
    </row>
    <row r="38" spans="1:24" x14ac:dyDescent="0.35">
      <c r="A38" s="105">
        <v>43983</v>
      </c>
      <c r="B38" s="101">
        <v>-4</v>
      </c>
      <c r="C38" s="101" t="s">
        <v>86</v>
      </c>
      <c r="D38" s="201" t="s">
        <v>154</v>
      </c>
      <c r="E38" s="107"/>
      <c r="F38" s="107"/>
      <c r="G38" s="107"/>
      <c r="H38" s="107"/>
      <c r="I38" s="107"/>
      <c r="J38" s="101">
        <f>+B38</f>
        <v>-4</v>
      </c>
      <c r="K38" s="107"/>
      <c r="L38" s="101"/>
      <c r="M38" s="101"/>
      <c r="N38" s="101">
        <f t="shared" si="0"/>
        <v>24986.849999999995</v>
      </c>
    </row>
    <row r="39" spans="1:24" x14ac:dyDescent="0.35">
      <c r="A39" s="105">
        <v>43987</v>
      </c>
      <c r="B39" s="101">
        <v>-223.48</v>
      </c>
      <c r="C39" s="101" t="s">
        <v>16</v>
      </c>
      <c r="D39" s="201" t="s">
        <v>154</v>
      </c>
      <c r="E39" s="101"/>
      <c r="F39" s="101"/>
      <c r="G39" s="101"/>
      <c r="H39" s="101">
        <f>+B39</f>
        <v>-223.48</v>
      </c>
      <c r="I39" s="101"/>
      <c r="J39" s="101"/>
      <c r="K39" s="101"/>
      <c r="L39" s="101"/>
      <c r="M39" s="101"/>
      <c r="N39" s="101">
        <f t="shared" si="0"/>
        <v>24763.369999999995</v>
      </c>
    </row>
    <row r="40" spans="1:24" x14ac:dyDescent="0.35">
      <c r="A40" s="105">
        <v>43997</v>
      </c>
      <c r="B40" s="101">
        <v>-950</v>
      </c>
      <c r="C40" s="101" t="s">
        <v>269</v>
      </c>
      <c r="D40" s="201">
        <v>1011</v>
      </c>
      <c r="E40" s="101"/>
      <c r="F40" s="101"/>
      <c r="G40" s="101">
        <v>-550</v>
      </c>
      <c r="H40" s="101"/>
      <c r="I40" s="101"/>
      <c r="J40" s="101"/>
      <c r="K40" s="101"/>
      <c r="L40" s="101">
        <v>-400</v>
      </c>
      <c r="M40" s="101" t="s">
        <v>348</v>
      </c>
      <c r="N40" s="101">
        <f t="shared" si="0"/>
        <v>23813.369999999995</v>
      </c>
    </row>
    <row r="41" spans="1:24" x14ac:dyDescent="0.35">
      <c r="A41" s="105">
        <v>43998</v>
      </c>
      <c r="B41" s="101">
        <v>-636.82000000000005</v>
      </c>
      <c r="C41" s="101" t="s">
        <v>347</v>
      </c>
      <c r="D41" s="201">
        <v>1012</v>
      </c>
      <c r="E41" s="101"/>
      <c r="F41" s="101"/>
      <c r="G41" s="101"/>
      <c r="H41" s="101"/>
      <c r="I41" s="101"/>
      <c r="J41" s="101"/>
      <c r="K41" s="101"/>
      <c r="L41" s="101">
        <f>+B41</f>
        <v>-636.82000000000005</v>
      </c>
      <c r="M41" s="101" t="s">
        <v>349</v>
      </c>
      <c r="N41" s="101">
        <f t="shared" si="0"/>
        <v>23176.549999999996</v>
      </c>
    </row>
    <row r="42" spans="1:24" x14ac:dyDescent="0.35">
      <c r="A42" s="105">
        <v>43998</v>
      </c>
      <c r="B42" s="101">
        <v>-16.48</v>
      </c>
      <c r="C42" s="101" t="s">
        <v>310</v>
      </c>
      <c r="D42" s="201">
        <v>1013</v>
      </c>
      <c r="E42" s="101"/>
      <c r="F42" s="101"/>
      <c r="G42" s="101"/>
      <c r="H42" s="101"/>
      <c r="I42" s="101"/>
      <c r="J42" s="101"/>
      <c r="K42" s="101"/>
      <c r="L42" s="101">
        <f>+B42</f>
        <v>-16.48</v>
      </c>
      <c r="M42" s="101" t="s">
        <v>350</v>
      </c>
      <c r="N42" s="101">
        <f t="shared" si="0"/>
        <v>23160.069999999996</v>
      </c>
    </row>
    <row r="43" spans="1:24" x14ac:dyDescent="0.35">
      <c r="A43" s="105">
        <v>44006</v>
      </c>
      <c r="B43" s="101">
        <v>-36.5</v>
      </c>
      <c r="C43" s="101" t="s">
        <v>346</v>
      </c>
      <c r="D43" s="201" t="s">
        <v>154</v>
      </c>
      <c r="E43" s="101"/>
      <c r="F43" s="101"/>
      <c r="G43" s="101"/>
      <c r="H43" s="101"/>
      <c r="I43" s="101"/>
      <c r="J43" s="101"/>
      <c r="K43" s="101">
        <f>+B43</f>
        <v>-36.5</v>
      </c>
      <c r="L43" s="101"/>
      <c r="M43" s="101"/>
      <c r="N43" s="101">
        <f t="shared" si="0"/>
        <v>23123.569999999996</v>
      </c>
    </row>
    <row r="44" spans="1:24" x14ac:dyDescent="0.35">
      <c r="A44" s="105">
        <v>44006</v>
      </c>
      <c r="B44" s="101">
        <v>-86.08</v>
      </c>
      <c r="C44" s="101" t="s">
        <v>5</v>
      </c>
      <c r="D44" s="201" t="s">
        <v>154</v>
      </c>
      <c r="E44" s="101"/>
      <c r="F44" s="101">
        <f>+B44</f>
        <v>-86.08</v>
      </c>
      <c r="G44" s="101"/>
      <c r="H44" s="101"/>
      <c r="I44" s="101"/>
      <c r="J44" s="101"/>
      <c r="K44" s="101"/>
      <c r="L44" s="101"/>
      <c r="M44" s="101"/>
      <c r="N44" s="112">
        <f t="shared" si="0"/>
        <v>23037.489999999994</v>
      </c>
      <c r="O44" s="365" t="s">
        <v>351</v>
      </c>
    </row>
    <row r="45" spans="1:24" x14ac:dyDescent="0.35">
      <c r="A45" s="105">
        <v>44013</v>
      </c>
      <c r="B45" s="101">
        <v>-4</v>
      </c>
      <c r="C45" s="101" t="s">
        <v>86</v>
      </c>
      <c r="D45" s="201" t="s">
        <v>154</v>
      </c>
      <c r="E45" s="101"/>
      <c r="F45" s="101"/>
      <c r="G45" s="101"/>
      <c r="H45" s="101"/>
      <c r="I45" s="101"/>
      <c r="J45" s="101">
        <f>+B45</f>
        <v>-4</v>
      </c>
      <c r="K45" s="101"/>
      <c r="L45" s="101"/>
      <c r="M45" s="101"/>
      <c r="N45" s="101">
        <f t="shared" si="0"/>
        <v>23033.489999999994</v>
      </c>
    </row>
    <row r="46" spans="1:24" x14ac:dyDescent="0.35">
      <c r="A46" s="105">
        <v>44021</v>
      </c>
      <c r="B46" s="101">
        <v>-550</v>
      </c>
      <c r="C46" s="101" t="s">
        <v>269</v>
      </c>
      <c r="D46" s="201">
        <v>1014</v>
      </c>
      <c r="E46" s="101"/>
      <c r="F46" s="101"/>
      <c r="G46" s="101">
        <f>+B46</f>
        <v>-550</v>
      </c>
      <c r="H46" s="101"/>
      <c r="I46" s="101"/>
      <c r="J46" s="101"/>
      <c r="K46" s="101"/>
      <c r="L46" s="101"/>
      <c r="M46" s="101"/>
      <c r="N46" s="101">
        <f t="shared" si="0"/>
        <v>22483.489999999994</v>
      </c>
    </row>
    <row r="47" spans="1:24" x14ac:dyDescent="0.35">
      <c r="A47" s="105">
        <v>44034</v>
      </c>
      <c r="B47" s="101">
        <v>-86.08</v>
      </c>
      <c r="C47" s="101" t="s">
        <v>5</v>
      </c>
      <c r="D47" s="201" t="s">
        <v>154</v>
      </c>
      <c r="E47" s="101"/>
      <c r="F47" s="101">
        <f>+B47</f>
        <v>-86.08</v>
      </c>
      <c r="G47" s="101"/>
      <c r="H47" s="101"/>
      <c r="I47" s="101"/>
      <c r="J47" s="101"/>
      <c r="K47" s="101"/>
      <c r="L47" s="101"/>
      <c r="M47" s="101"/>
      <c r="N47" s="101">
        <f t="shared" si="0"/>
        <v>22397.409999999993</v>
      </c>
    </row>
    <row r="48" spans="1:24" x14ac:dyDescent="0.35">
      <c r="A48" s="105">
        <v>44035</v>
      </c>
      <c r="B48" s="101">
        <v>653.29999999999995</v>
      </c>
      <c r="C48" s="101" t="s">
        <v>352</v>
      </c>
      <c r="D48" s="201" t="s">
        <v>259</v>
      </c>
      <c r="E48" s="101"/>
      <c r="F48" s="101"/>
      <c r="G48" s="101"/>
      <c r="H48" s="101"/>
      <c r="I48" s="101"/>
      <c r="J48" s="101"/>
      <c r="K48" s="101"/>
      <c r="L48" s="101">
        <f>+B48</f>
        <v>653.29999999999995</v>
      </c>
      <c r="M48" s="101" t="s">
        <v>353</v>
      </c>
      <c r="N48" s="112">
        <f t="shared" si="0"/>
        <v>23050.709999999992</v>
      </c>
      <c r="O48" s="365" t="s">
        <v>354</v>
      </c>
    </row>
    <row r="49" spans="1:15" x14ac:dyDescent="0.35">
      <c r="A49" s="105">
        <v>44046</v>
      </c>
      <c r="B49" s="101">
        <v>-4</v>
      </c>
      <c r="C49" s="101" t="s">
        <v>86</v>
      </c>
      <c r="D49" s="201" t="s">
        <v>154</v>
      </c>
      <c r="E49" s="101"/>
      <c r="F49" s="101"/>
      <c r="G49" s="101"/>
      <c r="H49" s="101"/>
      <c r="I49" s="101"/>
      <c r="J49" s="101">
        <f>+B49</f>
        <v>-4</v>
      </c>
      <c r="K49" s="101"/>
      <c r="L49" s="101"/>
      <c r="M49" s="101"/>
      <c r="N49" s="101">
        <f t="shared" si="0"/>
        <v>23046.709999999992</v>
      </c>
    </row>
    <row r="50" spans="1:15" x14ac:dyDescent="0.35">
      <c r="A50" s="105">
        <v>44053</v>
      </c>
      <c r="B50" s="101">
        <v>-341.18</v>
      </c>
      <c r="C50" s="101" t="s">
        <v>16</v>
      </c>
      <c r="D50" s="201" t="s">
        <v>154</v>
      </c>
      <c r="E50" s="101"/>
      <c r="F50" s="101"/>
      <c r="G50" s="101"/>
      <c r="H50" s="101">
        <f>+B50</f>
        <v>-341.18</v>
      </c>
      <c r="I50" s="101"/>
      <c r="J50" s="101"/>
      <c r="K50" s="101"/>
      <c r="L50" s="101"/>
      <c r="M50" s="101"/>
      <c r="N50" s="101">
        <f t="shared" si="0"/>
        <v>22705.529999999992</v>
      </c>
    </row>
    <row r="51" spans="1:15" x14ac:dyDescent="0.35">
      <c r="A51" s="105">
        <v>44053</v>
      </c>
      <c r="B51" s="101">
        <v>-550</v>
      </c>
      <c r="C51" s="101" t="s">
        <v>269</v>
      </c>
      <c r="D51" s="201">
        <v>1015</v>
      </c>
      <c r="E51" s="101"/>
      <c r="F51" s="101"/>
      <c r="G51" s="101">
        <f>+B51</f>
        <v>-550</v>
      </c>
      <c r="H51" s="101"/>
      <c r="I51" s="101"/>
      <c r="J51" s="101"/>
      <c r="K51" s="101"/>
      <c r="L51" s="101"/>
      <c r="M51" s="101"/>
      <c r="N51" s="101">
        <f t="shared" si="0"/>
        <v>22155.529999999992</v>
      </c>
    </row>
    <row r="52" spans="1:15" x14ac:dyDescent="0.35">
      <c r="A52" s="105">
        <v>44067</v>
      </c>
      <c r="B52" s="101">
        <v>-86.08</v>
      </c>
      <c r="C52" s="101" t="s">
        <v>5</v>
      </c>
      <c r="D52" s="201" t="s">
        <v>154</v>
      </c>
      <c r="E52" s="101"/>
      <c r="F52" s="101">
        <f>+B52</f>
        <v>-86.08</v>
      </c>
      <c r="G52" s="101"/>
      <c r="H52" s="101"/>
      <c r="I52" s="101"/>
      <c r="J52" s="101"/>
      <c r="K52" s="101"/>
      <c r="L52" s="101"/>
      <c r="M52" s="101"/>
      <c r="N52" s="112">
        <f t="shared" si="0"/>
        <v>22069.44999999999</v>
      </c>
      <c r="O52" s="365" t="s">
        <v>363</v>
      </c>
    </row>
    <row r="53" spans="1:15" x14ac:dyDescent="0.35">
      <c r="A53" s="105">
        <v>44075</v>
      </c>
      <c r="B53" s="101">
        <v>-4</v>
      </c>
      <c r="C53" s="101" t="s">
        <v>86</v>
      </c>
      <c r="D53" s="201" t="s">
        <v>154</v>
      </c>
      <c r="E53" s="101"/>
      <c r="F53" s="101"/>
      <c r="G53" s="101"/>
      <c r="H53" s="101"/>
      <c r="I53" s="101"/>
      <c r="J53" s="101">
        <f>+B53</f>
        <v>-4</v>
      </c>
      <c r="K53" s="101"/>
      <c r="L53" s="101"/>
      <c r="M53" s="101"/>
      <c r="N53" s="101">
        <f t="shared" si="0"/>
        <v>22065.44999999999</v>
      </c>
    </row>
    <row r="54" spans="1:15" x14ac:dyDescent="0.35">
      <c r="A54" s="105">
        <v>44091</v>
      </c>
      <c r="B54" s="101">
        <v>-1250</v>
      </c>
      <c r="C54" s="101" t="s">
        <v>269</v>
      </c>
      <c r="D54" s="201">
        <v>1016</v>
      </c>
      <c r="E54" s="101"/>
      <c r="F54" s="101"/>
      <c r="G54" s="101">
        <v>-550</v>
      </c>
      <c r="H54" s="101"/>
      <c r="I54" s="101"/>
      <c r="J54" s="101"/>
      <c r="K54" s="101"/>
      <c r="L54" s="101">
        <v>-700</v>
      </c>
      <c r="M54" s="101" t="s">
        <v>364</v>
      </c>
      <c r="N54" s="101">
        <f t="shared" si="0"/>
        <v>20815.44999999999</v>
      </c>
    </row>
    <row r="55" spans="1:15" x14ac:dyDescent="0.35">
      <c r="A55" s="105">
        <v>44097</v>
      </c>
      <c r="B55" s="101">
        <v>-86.08</v>
      </c>
      <c r="C55" s="101" t="s">
        <v>5</v>
      </c>
      <c r="D55" s="201" t="s">
        <v>154</v>
      </c>
      <c r="E55" s="101"/>
      <c r="F55" s="101">
        <f>+B55</f>
        <v>-86.08</v>
      </c>
      <c r="G55" s="101"/>
      <c r="H55" s="101"/>
      <c r="I55" s="101"/>
      <c r="J55" s="101"/>
      <c r="K55" s="101"/>
      <c r="L55" s="101"/>
      <c r="M55" s="101"/>
      <c r="N55" s="112">
        <f t="shared" si="0"/>
        <v>20729.369999999988</v>
      </c>
      <c r="O55" s="365" t="s">
        <v>365</v>
      </c>
    </row>
    <row r="56" spans="1:15" x14ac:dyDescent="0.35">
      <c r="A56" s="105">
        <v>44105</v>
      </c>
      <c r="B56" s="101">
        <v>-4</v>
      </c>
      <c r="C56" s="101" t="s">
        <v>86</v>
      </c>
      <c r="D56" s="201" t="s">
        <v>154</v>
      </c>
      <c r="E56" s="101"/>
      <c r="F56" s="101"/>
      <c r="G56" s="101"/>
      <c r="H56" s="101"/>
      <c r="I56" s="101"/>
      <c r="J56" s="101">
        <f>+B56</f>
        <v>-4</v>
      </c>
      <c r="K56" s="101"/>
      <c r="L56" s="101"/>
      <c r="M56" s="101"/>
      <c r="N56" s="101">
        <f t="shared" si="0"/>
        <v>20725.369999999988</v>
      </c>
    </row>
    <row r="57" spans="1:15" x14ac:dyDescent="0.35">
      <c r="A57" s="105">
        <v>44117</v>
      </c>
      <c r="B57" s="101">
        <v>-327.91</v>
      </c>
      <c r="C57" s="101" t="s">
        <v>16</v>
      </c>
      <c r="D57" s="201" t="s">
        <v>154</v>
      </c>
      <c r="E57" s="101"/>
      <c r="F57" s="101"/>
      <c r="G57" s="101"/>
      <c r="H57" s="101">
        <f>+B57</f>
        <v>-327.91</v>
      </c>
      <c r="I57" s="101"/>
      <c r="J57" s="101"/>
      <c r="K57" s="101"/>
      <c r="L57" s="101"/>
      <c r="M57" s="101"/>
      <c r="N57" s="101">
        <f t="shared" si="0"/>
        <v>20397.459999999988</v>
      </c>
    </row>
    <row r="58" spans="1:15" x14ac:dyDescent="0.35">
      <c r="A58" s="105">
        <v>44126</v>
      </c>
      <c r="B58" s="101">
        <v>-86.08</v>
      </c>
      <c r="C58" s="101" t="s">
        <v>5</v>
      </c>
      <c r="D58" s="201" t="s">
        <v>154</v>
      </c>
      <c r="E58" s="101"/>
      <c r="F58" s="101">
        <f>+B58</f>
        <v>-86.08</v>
      </c>
      <c r="G58" s="101"/>
      <c r="H58" s="101"/>
      <c r="I58" s="101"/>
      <c r="J58" s="101"/>
      <c r="K58" s="101"/>
      <c r="L58" s="101"/>
      <c r="M58" s="101"/>
      <c r="N58" s="101">
        <f t="shared" si="0"/>
        <v>20311.379999999986</v>
      </c>
    </row>
    <row r="59" spans="1:15" x14ac:dyDescent="0.35">
      <c r="A59" s="105">
        <v>44132</v>
      </c>
      <c r="B59" s="101">
        <v>-550</v>
      </c>
      <c r="C59" s="101" t="s">
        <v>269</v>
      </c>
      <c r="D59" s="201">
        <v>1018</v>
      </c>
      <c r="E59" s="101"/>
      <c r="F59" s="101"/>
      <c r="G59" s="101">
        <f>+B59</f>
        <v>-550</v>
      </c>
      <c r="H59" s="101"/>
      <c r="I59" s="101"/>
      <c r="J59" s="101"/>
      <c r="K59" s="101"/>
      <c r="L59" s="101"/>
      <c r="M59" s="101"/>
      <c r="N59" s="112">
        <f t="shared" si="0"/>
        <v>19761.379999999986</v>
      </c>
      <c r="O59" s="365" t="s">
        <v>366</v>
      </c>
    </row>
    <row r="60" spans="1:15" x14ac:dyDescent="0.35">
      <c r="A60" s="105">
        <v>44502</v>
      </c>
      <c r="B60" s="101">
        <v>-4</v>
      </c>
      <c r="C60" s="101" t="s">
        <v>86</v>
      </c>
      <c r="D60" s="201" t="s">
        <v>154</v>
      </c>
      <c r="E60" s="101"/>
      <c r="F60" s="101"/>
      <c r="G60" s="101"/>
      <c r="H60" s="101"/>
      <c r="I60" s="101"/>
      <c r="J60" s="101">
        <f>+B60</f>
        <v>-4</v>
      </c>
      <c r="K60" s="101"/>
      <c r="L60" s="101"/>
      <c r="M60" s="101"/>
      <c r="N60" s="101">
        <f t="shared" si="0"/>
        <v>19757.379999999986</v>
      </c>
    </row>
    <row r="61" spans="1:15" x14ac:dyDescent="0.35">
      <c r="A61" s="105">
        <v>44513</v>
      </c>
      <c r="B61" s="101">
        <v>-550</v>
      </c>
      <c r="C61" s="101" t="s">
        <v>269</v>
      </c>
      <c r="D61" s="201">
        <v>1051</v>
      </c>
      <c r="G61" s="101">
        <f>+B61</f>
        <v>-550</v>
      </c>
      <c r="L61" s="101"/>
      <c r="M61" s="101"/>
      <c r="N61" s="101">
        <f t="shared" si="0"/>
        <v>19207.379999999986</v>
      </c>
    </row>
    <row r="62" spans="1:15" x14ac:dyDescent="0.35">
      <c r="A62" s="105">
        <v>44524</v>
      </c>
      <c r="B62" s="101">
        <v>-86.08</v>
      </c>
      <c r="C62" s="101" t="s">
        <v>5</v>
      </c>
      <c r="D62" s="201" t="s">
        <v>154</v>
      </c>
      <c r="E62" s="101"/>
      <c r="F62" s="101">
        <f>+B62</f>
        <v>-86.08</v>
      </c>
      <c r="G62" s="101"/>
      <c r="H62" s="101"/>
      <c r="I62" s="101"/>
      <c r="J62" s="101"/>
      <c r="K62" s="101"/>
      <c r="L62" s="101"/>
      <c r="M62" s="101"/>
      <c r="N62" s="101">
        <f t="shared" si="0"/>
        <v>19121.299999999985</v>
      </c>
    </row>
    <row r="63" spans="1:15" x14ac:dyDescent="0.35">
      <c r="A63" s="105">
        <v>44524</v>
      </c>
      <c r="B63" s="101">
        <v>-378.84</v>
      </c>
      <c r="C63" s="101" t="s">
        <v>206</v>
      </c>
      <c r="D63" s="201">
        <v>1053</v>
      </c>
      <c r="E63" s="101"/>
      <c r="F63" s="101"/>
      <c r="G63" s="101"/>
      <c r="H63" s="101"/>
      <c r="I63" s="101"/>
      <c r="J63" s="101"/>
      <c r="K63" s="101"/>
      <c r="L63" s="101">
        <f>+B63</f>
        <v>-378.84</v>
      </c>
      <c r="M63" s="101" t="s">
        <v>382</v>
      </c>
      <c r="N63" s="112">
        <f t="shared" si="0"/>
        <v>18742.459999999985</v>
      </c>
      <c r="O63" s="365" t="s">
        <v>367</v>
      </c>
    </row>
    <row r="64" spans="1:15" x14ac:dyDescent="0.35">
      <c r="A64" s="105">
        <v>44531</v>
      </c>
      <c r="B64" s="101">
        <v>-4</v>
      </c>
      <c r="C64" s="101" t="s">
        <v>86</v>
      </c>
      <c r="D64" s="201" t="s">
        <v>154</v>
      </c>
      <c r="E64" s="101"/>
      <c r="F64" s="101"/>
      <c r="G64" s="101"/>
      <c r="H64" s="101"/>
      <c r="I64" s="101"/>
      <c r="J64" s="101">
        <f>+B64</f>
        <v>-4</v>
      </c>
      <c r="K64" s="101"/>
      <c r="L64" s="101"/>
      <c r="M64" s="101"/>
      <c r="N64" s="101">
        <f t="shared" si="0"/>
        <v>18738.459999999985</v>
      </c>
    </row>
    <row r="65" spans="1:15" x14ac:dyDescent="0.35">
      <c r="A65" s="105">
        <v>44533</v>
      </c>
      <c r="B65" s="101">
        <v>-171.4</v>
      </c>
      <c r="C65" s="101" t="s">
        <v>237</v>
      </c>
      <c r="D65" s="342">
        <v>1052</v>
      </c>
      <c r="E65" s="101"/>
      <c r="F65" s="101"/>
      <c r="G65" s="101"/>
      <c r="H65" s="101"/>
      <c r="I65" s="101"/>
      <c r="J65" s="101"/>
      <c r="K65" s="101"/>
      <c r="L65" s="101">
        <v>-171.4</v>
      </c>
      <c r="M65" s="101" t="s">
        <v>376</v>
      </c>
      <c r="N65" s="101">
        <f t="shared" si="0"/>
        <v>18567.059999999983</v>
      </c>
    </row>
    <row r="66" spans="1:15" x14ac:dyDescent="0.35">
      <c r="A66" s="105">
        <v>44541</v>
      </c>
      <c r="B66" s="101">
        <v>-182.94</v>
      </c>
      <c r="C66" s="101" t="s">
        <v>16</v>
      </c>
      <c r="D66" s="201" t="s">
        <v>154</v>
      </c>
      <c r="E66" s="101"/>
      <c r="F66" s="101"/>
      <c r="G66" s="101"/>
      <c r="H66" s="101">
        <f>+B66</f>
        <v>-182.94</v>
      </c>
      <c r="I66" s="101"/>
      <c r="J66" s="101"/>
      <c r="K66" s="101"/>
      <c r="L66" s="101"/>
      <c r="M66" s="101"/>
      <c r="N66" s="101">
        <f t="shared" si="0"/>
        <v>18384.119999999984</v>
      </c>
    </row>
    <row r="67" spans="1:15" x14ac:dyDescent="0.35">
      <c r="A67" s="105">
        <v>44553</v>
      </c>
      <c r="B67" s="101">
        <v>-550</v>
      </c>
      <c r="C67" s="101" t="s">
        <v>269</v>
      </c>
      <c r="D67" s="201">
        <v>1055</v>
      </c>
      <c r="E67" s="101"/>
      <c r="F67" s="101"/>
      <c r="G67" s="101">
        <f>+B67</f>
        <v>-550</v>
      </c>
      <c r="H67" s="101"/>
      <c r="I67" s="101"/>
      <c r="J67" s="101"/>
      <c r="K67" s="101"/>
      <c r="L67" s="101"/>
      <c r="M67" s="101"/>
      <c r="N67" s="101">
        <f>+N66+SUM(E67:L67)</f>
        <v>17834.119999999984</v>
      </c>
    </row>
    <row r="68" spans="1:15" x14ac:dyDescent="0.35">
      <c r="A68" s="105">
        <v>44553</v>
      </c>
      <c r="B68" s="101">
        <v>-86.08</v>
      </c>
      <c r="C68" s="101" t="s">
        <v>5</v>
      </c>
      <c r="D68" s="201" t="s">
        <v>154</v>
      </c>
      <c r="E68" s="101"/>
      <c r="F68" s="101">
        <f>+B68</f>
        <v>-86.08</v>
      </c>
      <c r="G68" s="101"/>
      <c r="H68" s="101"/>
      <c r="I68" s="101"/>
      <c r="J68" s="101"/>
      <c r="K68" s="101"/>
      <c r="L68" s="101"/>
      <c r="M68" s="101"/>
      <c r="N68" s="112">
        <f>+N67+SUM(E68:L68)</f>
        <v>17748.039999999983</v>
      </c>
      <c r="O68" s="365" t="s">
        <v>368</v>
      </c>
    </row>
    <row r="69" spans="1:15" x14ac:dyDescent="0.35">
      <c r="A69" s="105"/>
      <c r="B69" s="101"/>
      <c r="C69" s="101"/>
      <c r="D69" s="148"/>
      <c r="E69" s="101"/>
      <c r="F69" s="101"/>
      <c r="G69" s="101"/>
      <c r="H69" s="101"/>
      <c r="I69" s="101"/>
      <c r="J69" s="101"/>
      <c r="K69" s="101"/>
      <c r="L69" s="101"/>
      <c r="M69" s="101"/>
      <c r="N69" s="101"/>
    </row>
    <row r="70" spans="1:15" x14ac:dyDescent="0.35">
      <c r="B70" s="101">
        <f>SUM(B6:B69)</f>
        <v>738.13000000000295</v>
      </c>
      <c r="C70" s="101"/>
      <c r="D70" s="101"/>
      <c r="E70" s="101">
        <f t="shared" ref="E70:K70" si="1">SUM(E6:E69)</f>
        <v>13760</v>
      </c>
      <c r="F70" s="101">
        <f t="shared" si="1"/>
        <v>-1048.7300000000002</v>
      </c>
      <c r="G70" s="101">
        <f t="shared" si="1"/>
        <v>-6600</v>
      </c>
      <c r="H70" s="101">
        <f t="shared" si="1"/>
        <v>-1298.5500000000002</v>
      </c>
      <c r="I70" s="101">
        <f t="shared" si="1"/>
        <v>0</v>
      </c>
      <c r="J70" s="101">
        <f t="shared" si="1"/>
        <v>-83</v>
      </c>
      <c r="K70" s="101">
        <f t="shared" si="1"/>
        <v>-36.5</v>
      </c>
      <c r="L70" s="101">
        <f>SUM(L6:L69)</f>
        <v>-3955.0900000000006</v>
      </c>
      <c r="M70" s="112">
        <f>SUM(E70:L70)</f>
        <v>738.12999999999965</v>
      </c>
      <c r="N70" s="112" t="s">
        <v>369</v>
      </c>
    </row>
    <row r="71" spans="1:15" x14ac:dyDescent="0.35">
      <c r="B71" s="101"/>
      <c r="C71" s="106" t="s">
        <v>90</v>
      </c>
      <c r="D71" s="106"/>
      <c r="E71" s="107">
        <v>430</v>
      </c>
      <c r="F71" s="107"/>
      <c r="G71" s="107"/>
      <c r="H71" s="101"/>
      <c r="I71" s="101"/>
      <c r="J71" s="101"/>
      <c r="K71" s="101"/>
      <c r="L71" s="101"/>
      <c r="M71" s="101"/>
      <c r="N71" s="101"/>
    </row>
    <row r="72" spans="1:15" x14ac:dyDescent="0.35">
      <c r="B72" s="101"/>
      <c r="C72" s="106" t="s">
        <v>89</v>
      </c>
      <c r="D72" s="106"/>
      <c r="E72" s="149">
        <f>+E70/E71</f>
        <v>32</v>
      </c>
      <c r="F72" s="149"/>
      <c r="G72" s="150"/>
      <c r="H72" s="101"/>
      <c r="I72" s="101"/>
      <c r="J72" s="101"/>
      <c r="K72" s="101"/>
      <c r="L72" s="101"/>
      <c r="M72" s="101"/>
      <c r="N72" s="101"/>
    </row>
    <row r="73" spans="1:15" x14ac:dyDescent="0.35">
      <c r="C73" s="106" t="s">
        <v>117</v>
      </c>
      <c r="D73" s="106"/>
      <c r="E73" s="151">
        <v>32</v>
      </c>
      <c r="N73" s="101"/>
    </row>
    <row r="74" spans="1:15" x14ac:dyDescent="0.35">
      <c r="C74" s="106" t="s">
        <v>118</v>
      </c>
      <c r="D74" s="106"/>
      <c r="E74" s="150">
        <f>+E72-E73</f>
        <v>0</v>
      </c>
    </row>
  </sheetData>
  <pageMargins left="0.7" right="0.7" top="0.5" bottom="0.25" header="0.3" footer="0.3"/>
  <pageSetup scale="54" orientation="landscape" horizontalDpi="4294967293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7" tint="-0.249977111117893"/>
    <pageSetUpPr fitToPage="1"/>
  </sheetPr>
  <dimension ref="A1:P40"/>
  <sheetViews>
    <sheetView zoomScale="89" zoomScaleNormal="89" workbookViewId="0">
      <pane xSplit="2" ySplit="1" topLeftCell="C5" activePane="bottomRight" state="frozen"/>
      <selection pane="topRight" activeCell="C1" sqref="C1"/>
      <selection pane="bottomLeft" activeCell="A2" sqref="A2"/>
      <selection pane="bottomRight" activeCell="D54" sqref="D54"/>
    </sheetView>
  </sheetViews>
  <sheetFormatPr defaultColWidth="8.6328125" defaultRowHeight="15.5" x14ac:dyDescent="0.35"/>
  <cols>
    <col min="1" max="1" width="14.6328125" style="1" customWidth="1"/>
    <col min="2" max="2" width="31.36328125" style="1" customWidth="1"/>
    <col min="3" max="4" width="12.54296875" style="1" customWidth="1"/>
    <col min="5" max="7" width="11.36328125" style="9" customWidth="1"/>
    <col min="8" max="16" width="11.36328125" style="1" customWidth="1"/>
    <col min="17" max="16384" width="8.6328125" style="1"/>
  </cols>
  <sheetData>
    <row r="1" spans="1:16" ht="31.5" customHeight="1" thickBot="1" x14ac:dyDescent="0.4">
      <c r="A1" s="525" t="s">
        <v>374</v>
      </c>
      <c r="B1" s="526"/>
      <c r="C1" s="343" t="s">
        <v>325</v>
      </c>
      <c r="D1" s="410">
        <v>2020</v>
      </c>
      <c r="E1" s="350" t="s">
        <v>31</v>
      </c>
      <c r="F1" s="204" t="s">
        <v>32</v>
      </c>
      <c r="G1" s="204" t="s">
        <v>33</v>
      </c>
      <c r="H1" s="15" t="s">
        <v>34</v>
      </c>
      <c r="I1" s="15" t="s">
        <v>35</v>
      </c>
      <c r="J1" s="15" t="s">
        <v>36</v>
      </c>
      <c r="K1" s="15" t="s">
        <v>37</v>
      </c>
      <c r="L1" s="15" t="s">
        <v>38</v>
      </c>
      <c r="M1" s="15" t="s">
        <v>39</v>
      </c>
      <c r="N1" s="15" t="s">
        <v>40</v>
      </c>
      <c r="O1" s="15" t="s">
        <v>51</v>
      </c>
      <c r="P1" s="15" t="s">
        <v>52</v>
      </c>
    </row>
    <row r="2" spans="1:16" x14ac:dyDescent="0.35">
      <c r="A2" s="37" t="s">
        <v>198</v>
      </c>
      <c r="B2" s="38"/>
      <c r="C2" s="344">
        <f>+'2014 To 2020'!H32</f>
        <v>17009.909999999996</v>
      </c>
      <c r="D2" s="371">
        <f>+C2</f>
        <v>17009.909999999996</v>
      </c>
      <c r="E2" s="351">
        <f>+C2</f>
        <v>17009.909999999996</v>
      </c>
      <c r="F2" s="271">
        <f>+E26</f>
        <v>16354.059999999996</v>
      </c>
      <c r="G2" s="272">
        <f t="shared" ref="G2:P2" si="0">+F26</f>
        <v>19623.879999999997</v>
      </c>
      <c r="H2" s="271">
        <f t="shared" si="0"/>
        <v>27238.799999999996</v>
      </c>
      <c r="I2" s="272">
        <f t="shared" si="0"/>
        <v>26485.779999999995</v>
      </c>
      <c r="J2" s="271">
        <f t="shared" si="0"/>
        <v>24990.849999999995</v>
      </c>
      <c r="K2" s="271">
        <f t="shared" si="0"/>
        <v>23037.489999999994</v>
      </c>
      <c r="L2" s="271">
        <f t="shared" si="0"/>
        <v>23050.709999999995</v>
      </c>
      <c r="M2" s="272">
        <f t="shared" si="0"/>
        <v>22069.449999999997</v>
      </c>
      <c r="N2" s="272">
        <f t="shared" si="0"/>
        <v>20729.369999999995</v>
      </c>
      <c r="O2" s="272">
        <f t="shared" si="0"/>
        <v>19761.379999999994</v>
      </c>
      <c r="P2" s="272">
        <f t="shared" si="0"/>
        <v>18742.459999999992</v>
      </c>
    </row>
    <row r="3" spans="1:16" x14ac:dyDescent="0.35">
      <c r="A3" s="3"/>
      <c r="B3" s="6"/>
      <c r="C3" s="32"/>
      <c r="D3" s="23"/>
      <c r="E3" s="352"/>
      <c r="F3" s="26"/>
      <c r="G3" s="57"/>
      <c r="H3" s="26"/>
      <c r="I3" s="27"/>
      <c r="J3" s="27"/>
      <c r="K3" s="27"/>
      <c r="L3" s="27"/>
      <c r="M3" s="27"/>
      <c r="N3" s="27"/>
      <c r="O3" s="27"/>
      <c r="P3" s="27"/>
    </row>
    <row r="4" spans="1:16" x14ac:dyDescent="0.35">
      <c r="A4" s="24" t="s">
        <v>44</v>
      </c>
      <c r="B4" s="210" t="s">
        <v>174</v>
      </c>
      <c r="C4" s="367">
        <v>32</v>
      </c>
      <c r="D4" s="369">
        <f>SUM(E4:P4)</f>
        <v>32</v>
      </c>
      <c r="E4" s="353">
        <v>0</v>
      </c>
      <c r="F4" s="362">
        <v>14</v>
      </c>
      <c r="G4" s="362">
        <v>18</v>
      </c>
      <c r="H4" s="362">
        <v>0</v>
      </c>
      <c r="I4" s="366">
        <v>0</v>
      </c>
      <c r="J4" s="366">
        <v>0</v>
      </c>
      <c r="K4" s="366">
        <v>0</v>
      </c>
      <c r="L4" s="366">
        <v>0</v>
      </c>
      <c r="M4" s="366">
        <v>0</v>
      </c>
      <c r="N4" s="366">
        <v>0</v>
      </c>
      <c r="O4" s="366">
        <v>0</v>
      </c>
      <c r="P4" s="366">
        <v>0</v>
      </c>
    </row>
    <row r="5" spans="1:16" x14ac:dyDescent="0.35">
      <c r="A5" s="1" t="s">
        <v>175</v>
      </c>
      <c r="B5" s="283">
        <v>430</v>
      </c>
      <c r="C5" s="33">
        <v>13760</v>
      </c>
      <c r="D5" s="309">
        <f>SUM(E5:P5)</f>
        <v>13760</v>
      </c>
      <c r="E5" s="354">
        <f>+E4*$B5</f>
        <v>0</v>
      </c>
      <c r="F5" s="56">
        <f t="shared" ref="F5:P5" si="1">+F4*$B5</f>
        <v>6020</v>
      </c>
      <c r="G5" s="53">
        <f t="shared" si="1"/>
        <v>7740</v>
      </c>
      <c r="H5" s="53">
        <f t="shared" si="1"/>
        <v>0</v>
      </c>
      <c r="I5" s="53">
        <f t="shared" si="1"/>
        <v>0</v>
      </c>
      <c r="J5" s="53">
        <f t="shared" si="1"/>
        <v>0</v>
      </c>
      <c r="K5" s="53">
        <f t="shared" si="1"/>
        <v>0</v>
      </c>
      <c r="L5" s="53">
        <f t="shared" si="1"/>
        <v>0</v>
      </c>
      <c r="M5" s="53">
        <f t="shared" si="1"/>
        <v>0</v>
      </c>
      <c r="N5" s="53">
        <f t="shared" si="1"/>
        <v>0</v>
      </c>
      <c r="O5" s="53">
        <f t="shared" si="1"/>
        <v>0</v>
      </c>
      <c r="P5" s="53">
        <f t="shared" si="1"/>
        <v>0</v>
      </c>
    </row>
    <row r="6" spans="1:16" x14ac:dyDescent="0.35">
      <c r="A6" s="95" t="s">
        <v>49</v>
      </c>
      <c r="C6" s="54">
        <f>+C5</f>
        <v>13760</v>
      </c>
      <c r="D6" s="23">
        <f>SUM(E6:P6)</f>
        <v>13760</v>
      </c>
      <c r="E6" s="355">
        <f t="shared" ref="E6:P6" si="2">SUM(E5:E5)</f>
        <v>0</v>
      </c>
      <c r="F6" s="57">
        <f t="shared" si="2"/>
        <v>6020</v>
      </c>
      <c r="G6" s="57">
        <f t="shared" si="2"/>
        <v>7740</v>
      </c>
      <c r="H6" s="57">
        <f t="shared" si="2"/>
        <v>0</v>
      </c>
      <c r="I6" s="57">
        <f t="shared" si="2"/>
        <v>0</v>
      </c>
      <c r="J6" s="57">
        <f t="shared" si="2"/>
        <v>0</v>
      </c>
      <c r="K6" s="57">
        <f t="shared" si="2"/>
        <v>0</v>
      </c>
      <c r="L6" s="57">
        <f t="shared" si="2"/>
        <v>0</v>
      </c>
      <c r="M6" s="57">
        <f t="shared" si="2"/>
        <v>0</v>
      </c>
      <c r="N6" s="57">
        <f t="shared" si="2"/>
        <v>0</v>
      </c>
      <c r="O6" s="57">
        <f t="shared" si="2"/>
        <v>0</v>
      </c>
      <c r="P6" s="57">
        <f t="shared" si="2"/>
        <v>0</v>
      </c>
    </row>
    <row r="7" spans="1:16" x14ac:dyDescent="0.35">
      <c r="C7" s="32"/>
      <c r="D7" s="23"/>
      <c r="E7" s="355"/>
      <c r="F7" s="57"/>
      <c r="G7" s="57"/>
      <c r="H7" s="27"/>
      <c r="I7" s="27"/>
      <c r="J7" s="27"/>
      <c r="K7" s="27"/>
      <c r="L7" s="27"/>
      <c r="M7" s="27"/>
      <c r="N7" s="27"/>
      <c r="O7" s="27"/>
      <c r="P7" s="27"/>
    </row>
    <row r="8" spans="1:16" x14ac:dyDescent="0.35">
      <c r="A8" s="24" t="s">
        <v>3</v>
      </c>
      <c r="C8" s="32"/>
      <c r="D8" s="23"/>
      <c r="E8" s="352"/>
      <c r="F8" s="26"/>
      <c r="G8" s="57"/>
      <c r="H8" s="27"/>
      <c r="I8" s="27"/>
      <c r="J8" s="27"/>
      <c r="K8" s="27"/>
      <c r="L8" s="27"/>
      <c r="M8" s="27"/>
      <c r="N8" s="27"/>
      <c r="O8" s="27"/>
      <c r="P8" s="27"/>
    </row>
    <row r="9" spans="1:16" x14ac:dyDescent="0.35">
      <c r="A9" s="1" t="s">
        <v>272</v>
      </c>
      <c r="B9" s="1" t="s">
        <v>273</v>
      </c>
      <c r="C9" s="32">
        <v>6660</v>
      </c>
      <c r="D9" s="23">
        <f t="shared" ref="D9:D23" si="3">SUM(E9:P9)</f>
        <v>6600</v>
      </c>
      <c r="E9" s="352">
        <v>550</v>
      </c>
      <c r="F9" s="57">
        <v>550</v>
      </c>
      <c r="G9" s="57">
        <v>0</v>
      </c>
      <c r="H9" s="57">
        <v>550</v>
      </c>
      <c r="I9" s="57">
        <v>1100</v>
      </c>
      <c r="J9" s="57">
        <v>550</v>
      </c>
      <c r="K9" s="57">
        <v>550</v>
      </c>
      <c r="L9" s="57">
        <v>550</v>
      </c>
      <c r="M9" s="57">
        <v>550</v>
      </c>
      <c r="N9" s="57">
        <v>550</v>
      </c>
      <c r="O9" s="57">
        <v>550</v>
      </c>
      <c r="P9" s="57">
        <v>550</v>
      </c>
    </row>
    <row r="10" spans="1:16" x14ac:dyDescent="0.35">
      <c r="B10" s="1" t="s">
        <v>277</v>
      </c>
      <c r="C10" s="32">
        <v>1480</v>
      </c>
      <c r="D10" s="23">
        <f t="shared" si="3"/>
        <v>726.24999999999989</v>
      </c>
      <c r="E10" s="352"/>
      <c r="F10" s="57"/>
      <c r="G10" s="57"/>
      <c r="H10" s="57"/>
      <c r="I10" s="57">
        <f>256.03+48.82</f>
        <v>304.84999999999997</v>
      </c>
      <c r="J10" s="57">
        <v>250</v>
      </c>
      <c r="K10" s="57">
        <v>0</v>
      </c>
      <c r="L10" s="57"/>
      <c r="M10" s="57"/>
      <c r="N10" s="57"/>
      <c r="O10" s="57">
        <v>0</v>
      </c>
      <c r="P10" s="57">
        <v>171.4</v>
      </c>
    </row>
    <row r="11" spans="1:16" x14ac:dyDescent="0.35">
      <c r="B11" s="1" t="s">
        <v>278</v>
      </c>
      <c r="C11" s="32">
        <v>2580</v>
      </c>
      <c r="D11" s="23">
        <f t="shared" si="3"/>
        <v>2850</v>
      </c>
      <c r="E11" s="352"/>
      <c r="F11" s="26">
        <v>2000</v>
      </c>
      <c r="G11" s="57"/>
      <c r="H11" s="57"/>
      <c r="I11" s="57"/>
      <c r="J11" s="57">
        <f>150+636.82+16.48</f>
        <v>803.30000000000007</v>
      </c>
      <c r="K11" s="57">
        <v>-653.29999999999995</v>
      </c>
      <c r="L11" s="57"/>
      <c r="M11" s="57">
        <v>700</v>
      </c>
      <c r="N11" s="57"/>
      <c r="O11" s="57">
        <v>0</v>
      </c>
      <c r="P11" s="57"/>
    </row>
    <row r="12" spans="1:16" x14ac:dyDescent="0.35">
      <c r="C12" s="32"/>
      <c r="D12" s="23"/>
      <c r="E12" s="352"/>
      <c r="F12" s="26"/>
      <c r="G12" s="57"/>
      <c r="H12" s="26"/>
      <c r="I12" s="57"/>
      <c r="J12" s="26"/>
      <c r="K12" s="26"/>
      <c r="L12" s="26"/>
      <c r="M12" s="57"/>
      <c r="N12" s="57"/>
      <c r="O12" s="57"/>
      <c r="P12" s="57"/>
    </row>
    <row r="13" spans="1:16" x14ac:dyDescent="0.35">
      <c r="A13" s="1" t="s">
        <v>48</v>
      </c>
      <c r="B13" s="1" t="s">
        <v>5</v>
      </c>
      <c r="C13" s="32">
        <v>1050.0000000000002</v>
      </c>
      <c r="D13" s="23">
        <f t="shared" si="3"/>
        <v>1048.7300000000002</v>
      </c>
      <c r="E13" s="352">
        <v>101.85</v>
      </c>
      <c r="F13" s="51">
        <v>86.08</v>
      </c>
      <c r="G13" s="57">
        <v>86.08</v>
      </c>
      <c r="H13" s="57">
        <v>86.08</v>
      </c>
      <c r="I13" s="57">
        <v>86.08</v>
      </c>
      <c r="J13" s="57">
        <v>86.08</v>
      </c>
      <c r="K13" s="57">
        <v>86.08</v>
      </c>
      <c r="L13" s="57">
        <v>86.08</v>
      </c>
      <c r="M13" s="57">
        <v>86.08</v>
      </c>
      <c r="N13" s="57">
        <v>86.08</v>
      </c>
      <c r="O13" s="57">
        <v>86.08</v>
      </c>
      <c r="P13" s="57">
        <v>86.08</v>
      </c>
    </row>
    <row r="14" spans="1:16" x14ac:dyDescent="0.35">
      <c r="C14" s="32"/>
      <c r="D14" s="23"/>
      <c r="E14" s="352"/>
      <c r="F14" s="26"/>
      <c r="G14" s="57"/>
      <c r="H14" s="26"/>
      <c r="I14" s="57"/>
      <c r="J14" s="26"/>
      <c r="K14" s="26"/>
      <c r="L14" s="57"/>
      <c r="M14" s="57"/>
      <c r="N14" s="57"/>
      <c r="O14" s="57"/>
      <c r="P14" s="57"/>
    </row>
    <row r="15" spans="1:16" x14ac:dyDescent="0.35">
      <c r="A15" s="1" t="s">
        <v>46</v>
      </c>
      <c r="B15" s="1" t="s">
        <v>262</v>
      </c>
      <c r="C15" s="32">
        <v>50</v>
      </c>
      <c r="D15" s="23">
        <f t="shared" si="3"/>
        <v>119.5</v>
      </c>
      <c r="E15" s="352">
        <v>4</v>
      </c>
      <c r="F15" s="26">
        <v>4</v>
      </c>
      <c r="G15" s="57">
        <v>39</v>
      </c>
      <c r="H15" s="28">
        <v>4</v>
      </c>
      <c r="I15" s="57">
        <v>4</v>
      </c>
      <c r="J15" s="57">
        <v>40.5</v>
      </c>
      <c r="K15" s="57">
        <v>4</v>
      </c>
      <c r="L15" s="57">
        <v>4</v>
      </c>
      <c r="M15" s="57">
        <v>4</v>
      </c>
      <c r="N15" s="57">
        <v>4</v>
      </c>
      <c r="O15" s="57">
        <v>4</v>
      </c>
      <c r="P15" s="57">
        <v>4</v>
      </c>
    </row>
    <row r="16" spans="1:16" x14ac:dyDescent="0.35">
      <c r="C16" s="32"/>
      <c r="D16" s="23"/>
      <c r="E16" s="352"/>
      <c r="F16" s="26"/>
      <c r="G16" s="57"/>
      <c r="H16" s="26"/>
      <c r="I16" s="57"/>
      <c r="J16" s="26"/>
      <c r="K16" s="26"/>
      <c r="L16" s="57"/>
      <c r="M16" s="57"/>
      <c r="N16" s="57"/>
      <c r="O16" s="57"/>
      <c r="P16" s="57"/>
    </row>
    <row r="17" spans="1:16" x14ac:dyDescent="0.35">
      <c r="A17" s="1" t="s">
        <v>45</v>
      </c>
      <c r="B17" s="1" t="s">
        <v>16</v>
      </c>
      <c r="C17" s="32">
        <v>1170</v>
      </c>
      <c r="D17" s="23">
        <f t="shared" si="3"/>
        <v>1298.5500000000002</v>
      </c>
      <c r="E17" s="352"/>
      <c r="F17" s="57">
        <v>110.1</v>
      </c>
      <c r="G17" s="57"/>
      <c r="H17" s="57">
        <v>112.94</v>
      </c>
      <c r="I17" s="57"/>
      <c r="J17" s="57">
        <v>223.48</v>
      </c>
      <c r="K17" s="57"/>
      <c r="L17" s="57">
        <v>341.18</v>
      </c>
      <c r="M17" s="57"/>
      <c r="N17" s="57">
        <v>327.91</v>
      </c>
      <c r="O17" s="57"/>
      <c r="P17" s="57">
        <v>182.94</v>
      </c>
    </row>
    <row r="18" spans="1:16" x14ac:dyDescent="0.35">
      <c r="B18" s="1" t="s">
        <v>17</v>
      </c>
      <c r="C18" s="32">
        <v>0</v>
      </c>
      <c r="D18" s="23">
        <f t="shared" si="3"/>
        <v>0</v>
      </c>
      <c r="E18" s="352"/>
      <c r="F18" s="57"/>
      <c r="G18" s="57"/>
      <c r="H18" s="57"/>
      <c r="I18" s="57"/>
      <c r="J18" s="57"/>
      <c r="K18" s="57"/>
      <c r="L18" s="57"/>
      <c r="M18" s="57"/>
      <c r="N18" s="57"/>
      <c r="O18" s="57"/>
      <c r="P18" s="57"/>
    </row>
    <row r="19" spans="1:16" x14ac:dyDescent="0.35">
      <c r="C19" s="32"/>
      <c r="D19" s="23"/>
      <c r="E19" s="352"/>
      <c r="F19" s="57"/>
      <c r="G19" s="57"/>
      <c r="H19" s="26"/>
      <c r="I19" s="57"/>
      <c r="J19" s="26"/>
      <c r="K19" s="26"/>
      <c r="L19" s="57"/>
      <c r="M19" s="57"/>
      <c r="N19" s="57"/>
      <c r="O19" s="57"/>
      <c r="P19" s="57"/>
    </row>
    <row r="20" spans="1:16" x14ac:dyDescent="0.35">
      <c r="A20" s="1" t="s">
        <v>56</v>
      </c>
      <c r="B20" s="1" t="s">
        <v>30</v>
      </c>
      <c r="C20" s="32">
        <v>330</v>
      </c>
      <c r="D20" s="23">
        <f t="shared" si="3"/>
        <v>378.84</v>
      </c>
      <c r="E20" s="352"/>
      <c r="F20" s="57"/>
      <c r="G20" s="57"/>
      <c r="H20" s="57"/>
      <c r="I20" s="57"/>
      <c r="J20" s="57"/>
      <c r="K20" s="57"/>
      <c r="L20" s="57"/>
      <c r="M20" s="57"/>
      <c r="N20" s="57"/>
      <c r="O20" s="57">
        <v>378.84</v>
      </c>
      <c r="P20" s="57"/>
    </row>
    <row r="21" spans="1:16" x14ac:dyDescent="0.35">
      <c r="B21" s="1" t="s">
        <v>261</v>
      </c>
      <c r="C21" s="32">
        <v>130</v>
      </c>
      <c r="D21" s="23">
        <f t="shared" si="3"/>
        <v>0</v>
      </c>
      <c r="E21" s="352"/>
      <c r="F21" s="57"/>
      <c r="G21" s="57"/>
      <c r="H21" s="57"/>
      <c r="I21" s="57"/>
      <c r="J21" s="57"/>
      <c r="K21" s="57"/>
      <c r="L21" s="57"/>
      <c r="M21" s="57"/>
      <c r="N21" s="57"/>
      <c r="O21" s="57">
        <v>0</v>
      </c>
      <c r="P21" s="57"/>
    </row>
    <row r="22" spans="1:16" x14ac:dyDescent="0.35">
      <c r="B22" s="1" t="s">
        <v>383</v>
      </c>
      <c r="C22" s="32">
        <v>10</v>
      </c>
      <c r="D22" s="23">
        <f t="shared" si="3"/>
        <v>0</v>
      </c>
      <c r="E22" s="352"/>
      <c r="F22" s="57"/>
      <c r="G22" s="57"/>
      <c r="H22" s="57"/>
      <c r="I22" s="57"/>
      <c r="J22" s="57"/>
      <c r="K22" s="57"/>
      <c r="L22" s="57"/>
      <c r="M22" s="57"/>
      <c r="N22" s="57"/>
      <c r="O22" s="57">
        <v>0</v>
      </c>
      <c r="P22" s="57"/>
    </row>
    <row r="23" spans="1:16" x14ac:dyDescent="0.35">
      <c r="B23" s="1" t="s">
        <v>162</v>
      </c>
      <c r="C23" s="33">
        <v>300</v>
      </c>
      <c r="D23" s="309">
        <f t="shared" si="3"/>
        <v>0</v>
      </c>
      <c r="E23" s="356">
        <v>0</v>
      </c>
      <c r="F23" s="56">
        <v>0</v>
      </c>
      <c r="G23" s="56">
        <v>0</v>
      </c>
      <c r="H23" s="56">
        <v>0</v>
      </c>
      <c r="I23" s="56">
        <v>0</v>
      </c>
      <c r="J23" s="56">
        <v>0</v>
      </c>
      <c r="K23" s="56">
        <v>0</v>
      </c>
      <c r="L23" s="56">
        <v>0</v>
      </c>
      <c r="M23" s="56">
        <v>0</v>
      </c>
      <c r="N23" s="56">
        <v>0</v>
      </c>
      <c r="O23" s="56">
        <v>0</v>
      </c>
      <c r="P23" s="56">
        <v>0</v>
      </c>
    </row>
    <row r="24" spans="1:16" x14ac:dyDescent="0.35">
      <c r="A24" s="25" t="s">
        <v>24</v>
      </c>
      <c r="C24" s="34">
        <f t="shared" ref="C24:P24" si="4">SUM(C9:C23)</f>
        <v>13760</v>
      </c>
      <c r="D24" s="390">
        <f>SUM(D9:D23)</f>
        <v>13021.869999999999</v>
      </c>
      <c r="E24" s="357">
        <f t="shared" si="4"/>
        <v>655.85</v>
      </c>
      <c r="F24" s="30">
        <f t="shared" si="4"/>
        <v>2750.18</v>
      </c>
      <c r="G24" s="30">
        <f t="shared" si="4"/>
        <v>125.08</v>
      </c>
      <c r="H24" s="30">
        <f t="shared" si="4"/>
        <v>753.02</v>
      </c>
      <c r="I24" s="30">
        <f t="shared" si="4"/>
        <v>1494.9299999999998</v>
      </c>
      <c r="J24" s="30">
        <f t="shared" si="4"/>
        <v>1953.3600000000001</v>
      </c>
      <c r="K24" s="30">
        <f t="shared" si="4"/>
        <v>-13.219999999999956</v>
      </c>
      <c r="L24" s="30">
        <f t="shared" si="4"/>
        <v>981.26</v>
      </c>
      <c r="M24" s="30">
        <f t="shared" si="4"/>
        <v>1340.08</v>
      </c>
      <c r="N24" s="30">
        <f t="shared" si="4"/>
        <v>967.99</v>
      </c>
      <c r="O24" s="30">
        <f t="shared" si="4"/>
        <v>1018.9200000000001</v>
      </c>
      <c r="P24" s="30">
        <f t="shared" si="4"/>
        <v>994.42000000000007</v>
      </c>
    </row>
    <row r="25" spans="1:16" x14ac:dyDescent="0.35">
      <c r="C25" s="32"/>
      <c r="D25" s="370"/>
      <c r="E25" s="358"/>
      <c r="F25" s="363"/>
      <c r="G25" s="363"/>
    </row>
    <row r="26" spans="1:16" ht="16" thickBot="1" x14ac:dyDescent="0.4">
      <c r="A26" s="37" t="s">
        <v>50</v>
      </c>
      <c r="C26" s="368">
        <f t="shared" ref="C26:P26" si="5">+C2+C6-C24</f>
        <v>17009.909999999996</v>
      </c>
      <c r="D26" s="391">
        <f>+D2+D6-D24</f>
        <v>17748.039999999997</v>
      </c>
      <c r="E26" s="359">
        <f t="shared" si="5"/>
        <v>16354.059999999996</v>
      </c>
      <c r="F26" s="364">
        <f t="shared" si="5"/>
        <v>19623.879999999997</v>
      </c>
      <c r="G26" s="364">
        <f t="shared" si="5"/>
        <v>27238.799999999996</v>
      </c>
      <c r="H26" s="364">
        <f t="shared" si="5"/>
        <v>26485.779999999995</v>
      </c>
      <c r="I26" s="364">
        <f t="shared" si="5"/>
        <v>24990.849999999995</v>
      </c>
      <c r="J26" s="364">
        <f t="shared" si="5"/>
        <v>23037.489999999994</v>
      </c>
      <c r="K26" s="364">
        <f t="shared" si="5"/>
        <v>23050.709999999995</v>
      </c>
      <c r="L26" s="364">
        <f t="shared" si="5"/>
        <v>22069.449999999997</v>
      </c>
      <c r="M26" s="364">
        <f t="shared" si="5"/>
        <v>20729.369999999995</v>
      </c>
      <c r="N26" s="364">
        <f t="shared" si="5"/>
        <v>19761.379999999994</v>
      </c>
      <c r="O26" s="364">
        <f t="shared" si="5"/>
        <v>18742.459999999992</v>
      </c>
      <c r="P26" s="364">
        <f t="shared" si="5"/>
        <v>17748.039999999994</v>
      </c>
    </row>
    <row r="27" spans="1:16" x14ac:dyDescent="0.35">
      <c r="A27" s="37"/>
      <c r="C27" s="215"/>
      <c r="D27" s="215"/>
      <c r="E27" s="379"/>
      <c r="F27" s="364"/>
      <c r="G27" s="364"/>
      <c r="H27" s="364"/>
      <c r="I27" s="364"/>
      <c r="J27" s="364"/>
      <c r="K27" s="364"/>
      <c r="L27" s="364"/>
      <c r="M27" s="364"/>
      <c r="N27" s="364"/>
      <c r="O27" s="364"/>
      <c r="P27" s="364"/>
    </row>
    <row r="28" spans="1:16" ht="16" thickBot="1" x14ac:dyDescent="0.4">
      <c r="A28" s="375" t="s">
        <v>359</v>
      </c>
      <c r="C28" s="215"/>
      <c r="D28" s="215"/>
      <c r="E28" s="379"/>
      <c r="F28" s="364"/>
      <c r="G28" s="364"/>
      <c r="H28" s="364"/>
      <c r="I28" s="364"/>
      <c r="J28" s="364"/>
      <c r="K28" s="364"/>
      <c r="L28" s="364"/>
      <c r="M28" s="364"/>
      <c r="N28" s="364"/>
      <c r="O28" s="364"/>
      <c r="P28" s="364"/>
    </row>
    <row r="29" spans="1:16" x14ac:dyDescent="0.35">
      <c r="A29" s="37" t="s">
        <v>357</v>
      </c>
      <c r="C29" s="376">
        <f>+C26-C30-C31</f>
        <v>9009.9099999999962</v>
      </c>
      <c r="D29" s="376">
        <f>+D26-D30-D31</f>
        <v>9748.0399999999972</v>
      </c>
      <c r="E29" s="379"/>
      <c r="F29" s="364"/>
      <c r="G29" s="364"/>
      <c r="H29" s="364"/>
      <c r="I29" s="364"/>
      <c r="J29" s="364"/>
      <c r="K29" s="364"/>
      <c r="L29" s="364"/>
      <c r="M29" s="364"/>
      <c r="N29" s="364"/>
      <c r="O29" s="364"/>
      <c r="P29" s="364"/>
    </row>
    <row r="30" spans="1:16" x14ac:dyDescent="0.35">
      <c r="A30" s="37" t="s">
        <v>358</v>
      </c>
      <c r="C30" s="377">
        <v>5000</v>
      </c>
      <c r="D30" s="377">
        <v>5000</v>
      </c>
      <c r="E30" s="379"/>
      <c r="F30" s="364"/>
      <c r="G30" s="364"/>
      <c r="H30" s="364"/>
      <c r="I30" s="364"/>
      <c r="J30" s="364"/>
      <c r="K30" s="364"/>
      <c r="L30" s="364"/>
      <c r="M30" s="364"/>
      <c r="N30" s="364"/>
      <c r="O30" s="364"/>
      <c r="P30" s="364"/>
    </row>
    <row r="31" spans="1:16" ht="16" thickBot="1" x14ac:dyDescent="0.4">
      <c r="A31" s="37" t="s">
        <v>362</v>
      </c>
      <c r="C31" s="378">
        <v>3000</v>
      </c>
      <c r="D31" s="378">
        <v>3000</v>
      </c>
      <c r="E31" s="379"/>
      <c r="F31" s="364"/>
      <c r="G31" s="364"/>
      <c r="H31" s="364"/>
      <c r="I31" s="364"/>
      <c r="J31" s="364"/>
      <c r="K31" s="364"/>
      <c r="L31" s="364"/>
      <c r="M31" s="364"/>
      <c r="N31" s="364"/>
      <c r="O31" s="364"/>
      <c r="P31" s="364"/>
    </row>
    <row r="32" spans="1:16" x14ac:dyDescent="0.35">
      <c r="A32" s="3"/>
      <c r="C32" s="99"/>
      <c r="D32" s="99"/>
      <c r="E32" s="537"/>
      <c r="F32" s="537"/>
      <c r="G32" s="537"/>
      <c r="H32" s="537"/>
      <c r="I32" s="537"/>
      <c r="J32" s="537"/>
      <c r="K32" s="537"/>
      <c r="L32" s="537"/>
    </row>
    <row r="33" spans="1:16" s="9" customFormat="1" x14ac:dyDescent="0.35">
      <c r="A33" s="1" t="s">
        <v>274</v>
      </c>
      <c r="B33" s="2"/>
      <c r="C33" s="313">
        <f t="shared" ref="C33:D35" si="6">+C9</f>
        <v>6660</v>
      </c>
      <c r="D33" s="313">
        <f t="shared" si="6"/>
        <v>6600</v>
      </c>
      <c r="E33" s="283">
        <f>+D33/32</f>
        <v>206.25</v>
      </c>
      <c r="H33" s="1"/>
      <c r="I33" s="1"/>
      <c r="J33" s="1"/>
      <c r="K33" s="1"/>
      <c r="L33" s="1"/>
      <c r="M33" s="1"/>
      <c r="N33" s="1"/>
      <c r="O33" s="1"/>
      <c r="P33" s="1"/>
    </row>
    <row r="34" spans="1:16" s="9" customFormat="1" x14ac:dyDescent="0.35">
      <c r="A34" s="1" t="s">
        <v>275</v>
      </c>
      <c r="B34" s="2"/>
      <c r="C34" s="313">
        <f t="shared" si="6"/>
        <v>1480</v>
      </c>
      <c r="D34" s="313">
        <f t="shared" si="6"/>
        <v>726.24999999999989</v>
      </c>
      <c r="E34" s="283">
        <f t="shared" ref="E34:E39" si="7">+D34/32</f>
        <v>22.695312499999996</v>
      </c>
      <c r="H34" s="1"/>
      <c r="I34" s="1"/>
      <c r="J34" s="1"/>
      <c r="K34" s="1"/>
      <c r="L34" s="1"/>
      <c r="M34" s="1"/>
      <c r="N34" s="1"/>
      <c r="O34" s="1"/>
      <c r="P34" s="1"/>
    </row>
    <row r="35" spans="1:16" s="9" customFormat="1" x14ac:dyDescent="0.35">
      <c r="A35" s="1" t="s">
        <v>276</v>
      </c>
      <c r="B35" s="2"/>
      <c r="C35" s="313">
        <f t="shared" si="6"/>
        <v>2580</v>
      </c>
      <c r="D35" s="313">
        <f t="shared" si="6"/>
        <v>2850</v>
      </c>
      <c r="E35" s="283">
        <f t="shared" si="7"/>
        <v>89.0625</v>
      </c>
      <c r="H35" s="1"/>
      <c r="I35" s="1"/>
      <c r="J35" s="1"/>
      <c r="K35" s="1"/>
      <c r="L35" s="1"/>
      <c r="M35" s="1"/>
      <c r="N35" s="1"/>
      <c r="O35" s="1"/>
      <c r="P35" s="1"/>
    </row>
    <row r="36" spans="1:16" x14ac:dyDescent="0.35">
      <c r="A36" s="1" t="s">
        <v>4</v>
      </c>
      <c r="B36" s="2"/>
      <c r="C36" s="313">
        <f>+C13</f>
        <v>1050.0000000000002</v>
      </c>
      <c r="D36" s="313">
        <f>+D13</f>
        <v>1048.7300000000002</v>
      </c>
      <c r="E36" s="283">
        <f t="shared" si="7"/>
        <v>32.772812500000008</v>
      </c>
    </row>
    <row r="37" spans="1:16" x14ac:dyDescent="0.35">
      <c r="A37" s="1" t="s">
        <v>15</v>
      </c>
      <c r="B37" s="2"/>
      <c r="C37" s="313">
        <f>+C17+C18</f>
        <v>1170</v>
      </c>
      <c r="D37" s="313">
        <f>+D17+D18</f>
        <v>1298.5500000000002</v>
      </c>
      <c r="E37" s="283">
        <f t="shared" si="7"/>
        <v>40.579687500000006</v>
      </c>
    </row>
    <row r="38" spans="1:16" s="9" customFormat="1" x14ac:dyDescent="0.35">
      <c r="A38" s="1" t="s">
        <v>260</v>
      </c>
      <c r="B38" s="2"/>
      <c r="C38" s="313">
        <f>+C15+C20+C21+C22+C23</f>
        <v>820</v>
      </c>
      <c r="D38" s="313">
        <f>+D15+D20+D21+D22+D23</f>
        <v>498.34</v>
      </c>
      <c r="E38" s="283">
        <f t="shared" si="7"/>
        <v>15.573124999999999</v>
      </c>
      <c r="H38" s="1"/>
      <c r="I38" s="1"/>
      <c r="J38" s="1"/>
      <c r="K38" s="1"/>
      <c r="L38" s="1"/>
      <c r="M38" s="1"/>
      <c r="N38" s="1"/>
      <c r="O38" s="1"/>
      <c r="P38" s="1"/>
    </row>
    <row r="39" spans="1:16" x14ac:dyDescent="0.35">
      <c r="A39" s="1" t="s">
        <v>356</v>
      </c>
      <c r="B39" s="2"/>
      <c r="C39" s="314">
        <f>+C5-C24</f>
        <v>0</v>
      </c>
      <c r="D39" s="314">
        <f>+D5-D24</f>
        <v>738.13000000000102</v>
      </c>
      <c r="E39" s="284">
        <f t="shared" si="7"/>
        <v>23.066562500000032</v>
      </c>
    </row>
    <row r="40" spans="1:16" x14ac:dyDescent="0.35">
      <c r="A40" s="1" t="s">
        <v>361</v>
      </c>
      <c r="B40" s="2"/>
      <c r="C40" s="313">
        <f>SUM(C33:C38)</f>
        <v>13760</v>
      </c>
      <c r="D40" s="313">
        <f>SUM(D33:D39)</f>
        <v>13760</v>
      </c>
      <c r="E40" s="283">
        <f>+D40/32</f>
        <v>430</v>
      </c>
    </row>
  </sheetData>
  <mergeCells count="2">
    <mergeCell ref="A1:B1"/>
    <mergeCell ref="E32:L32"/>
  </mergeCells>
  <conditionalFormatting sqref="C32:D32">
    <cfRule type="cellIs" dxfId="2" priority="1" operator="lessThan">
      <formula>0</formula>
    </cfRule>
  </conditionalFormatting>
  <pageMargins left="0.25" right="0.25" top="0.75" bottom="0.75" header="0.3" footer="0.3"/>
  <pageSetup scale="64" orientation="landscape" horizontalDpi="4294967293" r:id="rId1"/>
  <drawing r:id="rId2"/>
  <legacyDrawing r:id="rId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6B2CFD-EA0A-449F-832A-D99114DAB62C}">
  <sheetPr>
    <tabColor rgb="FFFF0000"/>
    <pageSetUpPr fitToPage="1"/>
  </sheetPr>
  <dimension ref="A1:O54"/>
  <sheetViews>
    <sheetView zoomScaleNormal="100" workbookViewId="0">
      <pane xSplit="1" ySplit="5" topLeftCell="B21" activePane="bottomRight" state="frozen"/>
      <selection pane="topRight" activeCell="B1" sqref="B1"/>
      <selection pane="bottomLeft" activeCell="A6" sqref="A6"/>
      <selection pane="bottomRight" activeCell="O8" sqref="O8"/>
    </sheetView>
  </sheetViews>
  <sheetFormatPr defaultRowHeight="14.5" x14ac:dyDescent="0.35"/>
  <cols>
    <col min="1" max="1" width="10" customWidth="1"/>
    <col min="2" max="2" width="11.6328125" customWidth="1"/>
    <col min="3" max="3" width="21.6328125" customWidth="1"/>
    <col min="4" max="4" width="8.6328125" customWidth="1"/>
    <col min="5" max="5" width="10.6328125" customWidth="1"/>
    <col min="6" max="12" width="9.6328125" customWidth="1"/>
    <col min="13" max="13" width="32.54296875" customWidth="1"/>
    <col min="14" max="14" width="10.08984375" bestFit="1" customWidth="1"/>
  </cols>
  <sheetData>
    <row r="1" spans="1:15" ht="18.5" x14ac:dyDescent="0.45">
      <c r="A1" s="110">
        <v>2021</v>
      </c>
      <c r="B1" s="110" t="s">
        <v>92</v>
      </c>
      <c r="M1" s="115" t="s">
        <v>57</v>
      </c>
      <c r="N1" s="101">
        <f>+'2020 Ck Reg'!N68</f>
        <v>17748.039999999983</v>
      </c>
      <c r="O1" s="101"/>
    </row>
    <row r="2" spans="1:15" x14ac:dyDescent="0.35">
      <c r="A2" t="s">
        <v>1</v>
      </c>
      <c r="N2" s="112"/>
    </row>
    <row r="3" spans="1:15" x14ac:dyDescent="0.35">
      <c r="N3" s="101"/>
    </row>
    <row r="4" spans="1:15" x14ac:dyDescent="0.35">
      <c r="A4" s="109" t="s">
        <v>196</v>
      </c>
      <c r="N4" s="101"/>
    </row>
    <row r="5" spans="1:15" x14ac:dyDescent="0.35">
      <c r="A5" s="108" t="s">
        <v>76</v>
      </c>
      <c r="B5" s="109" t="s">
        <v>77</v>
      </c>
      <c r="C5" s="109" t="s">
        <v>106</v>
      </c>
      <c r="D5" s="109" t="s">
        <v>254</v>
      </c>
      <c r="E5" s="108" t="s">
        <v>78</v>
      </c>
      <c r="F5" s="108" t="s">
        <v>94</v>
      </c>
      <c r="G5" s="108" t="s">
        <v>95</v>
      </c>
      <c r="H5" s="108" t="s">
        <v>79</v>
      </c>
      <c r="I5" s="108" t="s">
        <v>96</v>
      </c>
      <c r="J5" s="108" t="s">
        <v>80</v>
      </c>
      <c r="K5" s="108" t="s">
        <v>81</v>
      </c>
      <c r="L5" s="108" t="s">
        <v>82</v>
      </c>
      <c r="M5" s="108" t="s">
        <v>97</v>
      </c>
      <c r="N5" s="111" t="s">
        <v>93</v>
      </c>
    </row>
    <row r="6" spans="1:15" x14ac:dyDescent="0.35">
      <c r="A6" s="310">
        <v>43832</v>
      </c>
      <c r="B6" s="101">
        <v>-4</v>
      </c>
      <c r="C6" s="101" t="s">
        <v>86</v>
      </c>
      <c r="D6" s="201" t="s">
        <v>154</v>
      </c>
      <c r="E6" s="101"/>
      <c r="F6" s="101"/>
      <c r="G6" s="101"/>
      <c r="H6" s="101"/>
      <c r="I6" s="101"/>
      <c r="J6" s="101">
        <f>+B6</f>
        <v>-4</v>
      </c>
      <c r="K6" s="101"/>
      <c r="L6" s="101"/>
      <c r="M6" s="101"/>
      <c r="N6" s="101">
        <f>+N1+SUM(E6:L6)</f>
        <v>17744.039999999983</v>
      </c>
    </row>
    <row r="7" spans="1:15" x14ac:dyDescent="0.35">
      <c r="A7" s="105">
        <v>44215</v>
      </c>
      <c r="B7" s="101">
        <v>-550</v>
      </c>
      <c r="C7" s="101" t="s">
        <v>269</v>
      </c>
      <c r="D7" s="201">
        <v>1054</v>
      </c>
      <c r="E7" s="101"/>
      <c r="F7" s="101"/>
      <c r="G7" s="101">
        <f>+B7</f>
        <v>-550</v>
      </c>
      <c r="H7" s="101"/>
      <c r="I7" s="101"/>
      <c r="J7" s="101"/>
      <c r="K7" s="101"/>
      <c r="L7" s="101"/>
      <c r="M7" s="101"/>
      <c r="N7" s="101">
        <f>+N6+SUM(E7:L7)</f>
        <v>17194.039999999983</v>
      </c>
    </row>
    <row r="8" spans="1:15" x14ac:dyDescent="0.35">
      <c r="A8" s="105">
        <v>43852</v>
      </c>
      <c r="B8" s="101">
        <v>-86.08</v>
      </c>
      <c r="C8" s="101" t="s">
        <v>5</v>
      </c>
      <c r="D8" s="201" t="s">
        <v>154</v>
      </c>
      <c r="E8" s="101"/>
      <c r="F8" s="101">
        <f>+B8</f>
        <v>-86.08</v>
      </c>
      <c r="G8" s="101"/>
      <c r="H8" s="101"/>
      <c r="I8" s="101"/>
      <c r="J8" s="101"/>
      <c r="K8" s="101"/>
      <c r="L8" s="101"/>
      <c r="M8" s="101"/>
      <c r="N8" s="112">
        <f>+N7+SUM(E8:L8)</f>
        <v>17107.959999999981</v>
      </c>
      <c r="O8" s="365" t="s">
        <v>326</v>
      </c>
    </row>
    <row r="9" spans="1:15" x14ac:dyDescent="0.35">
      <c r="A9" s="105">
        <v>44228</v>
      </c>
      <c r="B9" s="101">
        <v>-4</v>
      </c>
      <c r="C9" s="101" t="s">
        <v>86</v>
      </c>
      <c r="D9" s="201" t="s">
        <v>154</v>
      </c>
      <c r="E9" s="101"/>
      <c r="F9" s="101"/>
      <c r="G9" s="101"/>
      <c r="H9" s="101"/>
      <c r="I9" s="101"/>
      <c r="J9" s="101">
        <f>+B9</f>
        <v>-4</v>
      </c>
      <c r="K9" s="101"/>
      <c r="L9" s="101"/>
      <c r="M9" s="101"/>
      <c r="N9" s="101">
        <f>+N8+SUM(E9:L9)</f>
        <v>17103.959999999981</v>
      </c>
    </row>
    <row r="10" spans="1:15" x14ac:dyDescent="0.35">
      <c r="A10" s="105">
        <v>44243</v>
      </c>
      <c r="B10" s="101">
        <v>-550</v>
      </c>
      <c r="C10" s="101" t="s">
        <v>269</v>
      </c>
      <c r="D10" s="201">
        <v>1056</v>
      </c>
      <c r="E10" s="101"/>
      <c r="F10" s="101"/>
      <c r="G10" s="101">
        <f>+B10</f>
        <v>-550</v>
      </c>
      <c r="H10" s="101"/>
      <c r="I10" s="101"/>
      <c r="J10" s="101"/>
      <c r="K10" s="101"/>
      <c r="L10" s="101"/>
      <c r="M10" s="101"/>
      <c r="N10" s="101">
        <f t="shared" ref="N10:N48" si="0">+N9+SUM(E10:L10)</f>
        <v>16553.959999999981</v>
      </c>
    </row>
    <row r="11" spans="1:15" x14ac:dyDescent="0.35">
      <c r="A11" s="105">
        <v>43885</v>
      </c>
      <c r="B11" s="101">
        <v>-86.08</v>
      </c>
      <c r="C11" s="101" t="s">
        <v>5</v>
      </c>
      <c r="D11" s="201" t="s">
        <v>154</v>
      </c>
      <c r="E11" s="101"/>
      <c r="F11" s="101">
        <f>+B11</f>
        <v>-86.08</v>
      </c>
      <c r="G11" s="101"/>
      <c r="H11" s="101"/>
      <c r="I11" s="101"/>
      <c r="J11" s="101"/>
      <c r="K11" s="101"/>
      <c r="L11" s="101"/>
      <c r="M11" s="101"/>
      <c r="N11" s="112">
        <f t="shared" si="0"/>
        <v>16467.879999999979</v>
      </c>
      <c r="O11" s="365" t="s">
        <v>332</v>
      </c>
    </row>
    <row r="12" spans="1:15" x14ac:dyDescent="0.35">
      <c r="A12" s="105">
        <v>44256</v>
      </c>
      <c r="B12" s="101">
        <v>-4</v>
      </c>
      <c r="C12" s="101" t="s">
        <v>86</v>
      </c>
      <c r="D12" s="201" t="s">
        <v>154</v>
      </c>
      <c r="E12" s="101"/>
      <c r="F12" s="101"/>
      <c r="G12" s="101"/>
      <c r="H12" s="101"/>
      <c r="I12" s="101"/>
      <c r="J12" s="101">
        <f>+B12</f>
        <v>-4</v>
      </c>
      <c r="K12" s="101"/>
      <c r="L12" s="101"/>
      <c r="M12" s="101"/>
      <c r="N12" s="101">
        <f t="shared" si="0"/>
        <v>16463.879999999979</v>
      </c>
    </row>
    <row r="13" spans="1:15" x14ac:dyDescent="0.35">
      <c r="A13" s="105">
        <v>43914</v>
      </c>
      <c r="B13" s="101">
        <v>-86.08</v>
      </c>
      <c r="C13" s="101" t="s">
        <v>5</v>
      </c>
      <c r="D13" s="201" t="s">
        <v>154</v>
      </c>
      <c r="E13" s="101"/>
      <c r="F13" s="101">
        <f>+B13</f>
        <v>-86.08</v>
      </c>
      <c r="G13" s="101"/>
      <c r="H13" s="101"/>
      <c r="I13" s="101"/>
      <c r="J13" s="101"/>
      <c r="K13" s="101"/>
      <c r="L13" s="101"/>
      <c r="M13" s="101"/>
      <c r="N13" s="112">
        <f t="shared" si="0"/>
        <v>16377.799999999979</v>
      </c>
      <c r="O13" s="365" t="s">
        <v>336</v>
      </c>
    </row>
    <row r="14" spans="1:15" x14ac:dyDescent="0.35">
      <c r="A14" s="105">
        <v>44287</v>
      </c>
      <c r="B14" s="101">
        <v>-4</v>
      </c>
      <c r="C14" s="101" t="s">
        <v>86</v>
      </c>
      <c r="D14" s="201" t="s">
        <v>154</v>
      </c>
      <c r="E14" s="101"/>
      <c r="F14" s="101"/>
      <c r="G14" s="101"/>
      <c r="H14" s="101"/>
      <c r="I14" s="101"/>
      <c r="J14" s="101">
        <f>+B14</f>
        <v>-4</v>
      </c>
      <c r="K14" s="101"/>
      <c r="L14" s="101"/>
      <c r="M14" s="101"/>
      <c r="N14" s="101">
        <f t="shared" si="0"/>
        <v>16373.799999999979</v>
      </c>
    </row>
    <row r="15" spans="1:15" x14ac:dyDescent="0.35">
      <c r="A15" s="105">
        <v>44288</v>
      </c>
      <c r="B15" s="101">
        <v>11610</v>
      </c>
      <c r="C15" s="101" t="s">
        <v>78</v>
      </c>
      <c r="D15" s="201" t="s">
        <v>259</v>
      </c>
      <c r="E15" s="101">
        <f>+B15</f>
        <v>11610</v>
      </c>
      <c r="F15" s="101"/>
      <c r="G15" s="101"/>
      <c r="H15" s="101"/>
      <c r="I15" s="101"/>
      <c r="J15" s="101"/>
      <c r="K15" s="101"/>
      <c r="L15" s="101"/>
      <c r="M15" s="101" t="s">
        <v>370</v>
      </c>
      <c r="N15" s="101">
        <f t="shared" si="0"/>
        <v>27983.799999999981</v>
      </c>
    </row>
    <row r="16" spans="1:15" x14ac:dyDescent="0.35">
      <c r="A16" s="105">
        <v>44298</v>
      </c>
      <c r="B16" s="101">
        <v>-1100</v>
      </c>
      <c r="C16" s="101" t="s">
        <v>269</v>
      </c>
      <c r="D16" s="201">
        <v>1057</v>
      </c>
      <c r="E16" s="101"/>
      <c r="F16" s="101"/>
      <c r="G16" s="101">
        <f>+B16</f>
        <v>-1100</v>
      </c>
      <c r="H16" s="101"/>
      <c r="I16" s="101"/>
      <c r="J16" s="101"/>
      <c r="K16" s="101"/>
      <c r="L16" s="101"/>
      <c r="M16" s="101"/>
      <c r="N16" s="101">
        <f t="shared" si="0"/>
        <v>26883.799999999981</v>
      </c>
    </row>
    <row r="17" spans="1:15" x14ac:dyDescent="0.35">
      <c r="A17" s="105">
        <v>44308</v>
      </c>
      <c r="B17" s="101">
        <v>-86.08</v>
      </c>
      <c r="C17" s="101" t="s">
        <v>5</v>
      </c>
      <c r="D17" s="201" t="s">
        <v>154</v>
      </c>
      <c r="E17" s="101"/>
      <c r="F17" s="101">
        <f>+B17</f>
        <v>-86.08</v>
      </c>
      <c r="G17" s="101"/>
      <c r="H17" s="101"/>
      <c r="I17" s="101"/>
      <c r="J17" s="101"/>
      <c r="K17" s="101"/>
      <c r="L17" s="101"/>
      <c r="M17" s="101"/>
      <c r="N17" s="101">
        <f t="shared" si="0"/>
        <v>26797.719999999979</v>
      </c>
    </row>
    <row r="18" spans="1:15" x14ac:dyDescent="0.35">
      <c r="A18" s="105">
        <v>44315</v>
      </c>
      <c r="B18" s="101">
        <v>1290</v>
      </c>
      <c r="C18" s="101" t="s">
        <v>78</v>
      </c>
      <c r="D18" s="201" t="s">
        <v>259</v>
      </c>
      <c r="E18" s="101">
        <f>+B18</f>
        <v>1290</v>
      </c>
      <c r="F18" s="101"/>
      <c r="G18" s="101"/>
      <c r="H18" s="101"/>
      <c r="I18" s="101"/>
      <c r="J18" s="101"/>
      <c r="K18" s="101"/>
      <c r="L18" s="101"/>
      <c r="M18" s="101" t="s">
        <v>371</v>
      </c>
      <c r="N18" s="112">
        <f t="shared" si="0"/>
        <v>28087.719999999979</v>
      </c>
      <c r="O18" s="365" t="s">
        <v>340</v>
      </c>
    </row>
    <row r="19" spans="1:15" x14ac:dyDescent="0.35">
      <c r="A19" s="105">
        <v>44320</v>
      </c>
      <c r="B19" s="101">
        <v>-4</v>
      </c>
      <c r="C19" s="101" t="s">
        <v>86</v>
      </c>
      <c r="D19" s="201" t="s">
        <v>154</v>
      </c>
      <c r="E19" s="101"/>
      <c r="F19" s="101"/>
      <c r="G19" s="101"/>
      <c r="H19" s="101"/>
      <c r="I19" s="101"/>
      <c r="J19" s="101">
        <f>+B19</f>
        <v>-4</v>
      </c>
      <c r="K19" s="101"/>
      <c r="L19" s="101"/>
      <c r="M19" s="101"/>
      <c r="N19" s="101">
        <f t="shared" si="0"/>
        <v>28083.719999999979</v>
      </c>
    </row>
    <row r="20" spans="1:15" x14ac:dyDescent="0.35">
      <c r="A20" s="105">
        <v>44320</v>
      </c>
      <c r="B20" s="101">
        <v>-262</v>
      </c>
      <c r="C20" s="101" t="s">
        <v>16</v>
      </c>
      <c r="D20" s="201">
        <v>1062</v>
      </c>
      <c r="E20" s="101"/>
      <c r="F20" s="101"/>
      <c r="G20" s="101"/>
      <c r="H20" s="101">
        <f>+B20</f>
        <v>-262</v>
      </c>
      <c r="I20" s="101"/>
      <c r="J20" s="101"/>
      <c r="K20" s="101"/>
      <c r="L20" s="101"/>
      <c r="M20" s="101"/>
      <c r="N20" s="101">
        <f t="shared" si="0"/>
        <v>27821.719999999979</v>
      </c>
    </row>
    <row r="21" spans="1:15" x14ac:dyDescent="0.35">
      <c r="A21" s="105">
        <v>44326</v>
      </c>
      <c r="B21" s="101">
        <v>-550</v>
      </c>
      <c r="C21" s="101" t="s">
        <v>269</v>
      </c>
      <c r="D21" s="201">
        <v>1063</v>
      </c>
      <c r="E21" s="101"/>
      <c r="F21" s="101"/>
      <c r="G21" s="101">
        <f>+B21</f>
        <v>-550</v>
      </c>
      <c r="H21" s="101"/>
      <c r="I21" s="101"/>
      <c r="J21" s="101"/>
      <c r="K21" s="101"/>
      <c r="L21" s="101"/>
      <c r="M21" s="101"/>
      <c r="N21" s="101">
        <f t="shared" si="0"/>
        <v>27271.719999999979</v>
      </c>
    </row>
    <row r="22" spans="1:15" x14ac:dyDescent="0.35">
      <c r="A22" s="105">
        <v>44340</v>
      </c>
      <c r="B22" s="101">
        <v>-86.08</v>
      </c>
      <c r="C22" s="101" t="s">
        <v>5</v>
      </c>
      <c r="D22" s="201" t="s">
        <v>154</v>
      </c>
      <c r="E22" s="107"/>
      <c r="F22" s="101">
        <f>+B22</f>
        <v>-86.08</v>
      </c>
      <c r="G22" s="107"/>
      <c r="H22" s="107"/>
      <c r="I22" s="107"/>
      <c r="J22" s="101"/>
      <c r="K22" s="107"/>
      <c r="L22" s="107"/>
      <c r="M22" s="101"/>
      <c r="N22" s="112">
        <f t="shared" si="0"/>
        <v>27185.639999999978</v>
      </c>
      <c r="O22" s="365" t="s">
        <v>345</v>
      </c>
    </row>
    <row r="23" spans="1:15" x14ac:dyDescent="0.35">
      <c r="A23" s="105">
        <v>43983</v>
      </c>
      <c r="B23" s="101">
        <v>-4</v>
      </c>
      <c r="C23" s="101" t="s">
        <v>86</v>
      </c>
      <c r="D23" s="201" t="s">
        <v>154</v>
      </c>
      <c r="E23" s="107"/>
      <c r="F23" s="107"/>
      <c r="G23" s="107"/>
      <c r="H23" s="107"/>
      <c r="I23" s="107"/>
      <c r="J23" s="101">
        <f>+B23</f>
        <v>-4</v>
      </c>
      <c r="K23" s="107"/>
      <c r="L23" s="101"/>
      <c r="M23" s="101"/>
      <c r="N23" s="101">
        <f t="shared" si="0"/>
        <v>27181.639999999978</v>
      </c>
    </row>
    <row r="24" spans="1:15" x14ac:dyDescent="0.35">
      <c r="A24" s="105">
        <v>44361</v>
      </c>
      <c r="B24" s="101">
        <v>-550</v>
      </c>
      <c r="C24" s="101" t="s">
        <v>269</v>
      </c>
      <c r="D24" s="201">
        <v>1058</v>
      </c>
      <c r="E24" s="101"/>
      <c r="F24" s="101"/>
      <c r="G24" s="101">
        <f>+B24</f>
        <v>-550</v>
      </c>
      <c r="H24" s="101"/>
      <c r="I24" s="101"/>
      <c r="J24" s="101"/>
      <c r="K24" s="101"/>
      <c r="L24" s="101"/>
      <c r="M24" s="101"/>
      <c r="N24" s="101">
        <f t="shared" si="0"/>
        <v>26631.639999999978</v>
      </c>
    </row>
    <row r="25" spans="1:15" x14ac:dyDescent="0.35">
      <c r="A25" s="105">
        <v>44368</v>
      </c>
      <c r="B25" s="101">
        <v>430</v>
      </c>
      <c r="C25" s="101" t="s">
        <v>78</v>
      </c>
      <c r="D25" s="201" t="s">
        <v>259</v>
      </c>
      <c r="E25" s="101">
        <f>+B25</f>
        <v>430</v>
      </c>
      <c r="F25" s="101"/>
      <c r="G25" s="101"/>
      <c r="H25" s="101"/>
      <c r="I25" s="101"/>
      <c r="J25" s="101"/>
      <c r="K25" s="101"/>
      <c r="L25" s="101"/>
      <c r="M25" s="101" t="s">
        <v>372</v>
      </c>
      <c r="N25" s="101">
        <f t="shared" si="0"/>
        <v>27061.639999999978</v>
      </c>
    </row>
    <row r="26" spans="1:15" x14ac:dyDescent="0.35">
      <c r="A26" s="105">
        <v>44370</v>
      </c>
      <c r="B26" s="101">
        <v>-86.08</v>
      </c>
      <c r="C26" s="101" t="s">
        <v>5</v>
      </c>
      <c r="D26" s="201" t="s">
        <v>154</v>
      </c>
      <c r="E26" s="107"/>
      <c r="F26" s="101">
        <f>+B26</f>
        <v>-86.08</v>
      </c>
      <c r="G26" s="107"/>
      <c r="H26" s="107"/>
      <c r="I26" s="107"/>
      <c r="J26" s="101"/>
      <c r="K26" s="107"/>
      <c r="L26" s="107"/>
      <c r="M26" s="101"/>
      <c r="N26" s="101">
        <f t="shared" si="0"/>
        <v>26975.559999999976</v>
      </c>
    </row>
    <row r="27" spans="1:15" x14ac:dyDescent="0.35">
      <c r="A27" s="105">
        <v>44371</v>
      </c>
      <c r="B27" s="101">
        <v>-202.26</v>
      </c>
      <c r="C27" s="101" t="s">
        <v>16</v>
      </c>
      <c r="D27" s="201">
        <v>1059</v>
      </c>
      <c r="E27" s="101"/>
      <c r="F27" s="101"/>
      <c r="G27" s="101"/>
      <c r="H27" s="101">
        <f>+B27</f>
        <v>-202.26</v>
      </c>
      <c r="I27" s="101"/>
      <c r="J27" s="101"/>
      <c r="K27" s="101"/>
      <c r="L27" s="101"/>
      <c r="M27" s="101"/>
      <c r="N27" s="112">
        <f t="shared" si="0"/>
        <v>26773.299999999977</v>
      </c>
      <c r="O27" s="365" t="s">
        <v>351</v>
      </c>
    </row>
    <row r="28" spans="1:15" x14ac:dyDescent="0.35">
      <c r="A28" s="105">
        <v>44378</v>
      </c>
      <c r="B28" s="101">
        <v>-4</v>
      </c>
      <c r="C28" s="101" t="s">
        <v>86</v>
      </c>
      <c r="D28" s="201" t="s">
        <v>154</v>
      </c>
      <c r="E28" s="101"/>
      <c r="F28" s="101"/>
      <c r="G28" s="101"/>
      <c r="H28" s="101"/>
      <c r="I28" s="101"/>
      <c r="J28" s="101">
        <f>+B28</f>
        <v>-4</v>
      </c>
      <c r="K28" s="101"/>
      <c r="L28" s="101"/>
      <c r="M28" s="101"/>
      <c r="N28" s="101">
        <f t="shared" si="0"/>
        <v>26769.299999999977</v>
      </c>
    </row>
    <row r="29" spans="1:15" x14ac:dyDescent="0.35">
      <c r="A29" s="105">
        <v>44390</v>
      </c>
      <c r="B29" s="101">
        <v>-593.54</v>
      </c>
      <c r="C29" s="101" t="s">
        <v>206</v>
      </c>
      <c r="D29" s="201">
        <v>1065</v>
      </c>
      <c r="E29" s="101"/>
      <c r="F29" s="101"/>
      <c r="G29" s="101"/>
      <c r="H29" s="101"/>
      <c r="I29" s="101"/>
      <c r="J29" s="101"/>
      <c r="K29" s="101"/>
      <c r="L29" s="101">
        <f>+B29</f>
        <v>-593.54</v>
      </c>
      <c r="M29" s="101" t="s">
        <v>379</v>
      </c>
      <c r="N29" s="101">
        <f t="shared" si="0"/>
        <v>26175.759999999977</v>
      </c>
    </row>
    <row r="30" spans="1:15" x14ac:dyDescent="0.35">
      <c r="A30" s="105">
        <v>44396</v>
      </c>
      <c r="B30" s="101">
        <v>-550</v>
      </c>
      <c r="C30" s="101" t="s">
        <v>269</v>
      </c>
      <c r="D30" s="201">
        <v>1064</v>
      </c>
      <c r="E30" s="101"/>
      <c r="F30" s="101"/>
      <c r="G30" s="101">
        <f>+B30</f>
        <v>-550</v>
      </c>
      <c r="H30" s="101"/>
      <c r="I30" s="101"/>
      <c r="J30" s="101"/>
      <c r="K30" s="101"/>
      <c r="L30" s="101"/>
      <c r="M30" s="101"/>
      <c r="N30" s="101">
        <f t="shared" si="0"/>
        <v>25625.759999999977</v>
      </c>
      <c r="O30" s="365"/>
    </row>
    <row r="31" spans="1:15" x14ac:dyDescent="0.35">
      <c r="A31" s="105">
        <v>44399</v>
      </c>
      <c r="B31" s="101">
        <v>-86.08</v>
      </c>
      <c r="C31" s="101" t="s">
        <v>5</v>
      </c>
      <c r="D31" s="201" t="s">
        <v>154</v>
      </c>
      <c r="E31" s="101"/>
      <c r="F31" s="101">
        <f>+B31</f>
        <v>-86.08</v>
      </c>
      <c r="G31" s="101"/>
      <c r="H31" s="101"/>
      <c r="I31" s="101"/>
      <c r="J31" s="101"/>
      <c r="K31" s="101"/>
      <c r="L31" s="101"/>
      <c r="M31" s="101"/>
      <c r="N31" s="112">
        <f t="shared" si="0"/>
        <v>25539.679999999975</v>
      </c>
      <c r="O31" s="365" t="s">
        <v>354</v>
      </c>
    </row>
    <row r="32" spans="1:15" x14ac:dyDescent="0.35">
      <c r="A32" s="105">
        <v>44410</v>
      </c>
      <c r="B32" s="101">
        <v>-4</v>
      </c>
      <c r="C32" s="101" t="s">
        <v>86</v>
      </c>
      <c r="D32" s="201" t="s">
        <v>154</v>
      </c>
      <c r="E32" s="101"/>
      <c r="F32" s="101"/>
      <c r="G32" s="101"/>
      <c r="H32" s="101"/>
      <c r="I32" s="101"/>
      <c r="J32" s="101">
        <f>+B32</f>
        <v>-4</v>
      </c>
      <c r="K32" s="101"/>
      <c r="L32" s="101"/>
      <c r="M32" s="101"/>
      <c r="N32" s="101">
        <f t="shared" si="0"/>
        <v>25535.679999999975</v>
      </c>
    </row>
    <row r="33" spans="1:15" x14ac:dyDescent="0.35">
      <c r="A33" s="105">
        <v>44424</v>
      </c>
      <c r="B33" s="101">
        <v>430</v>
      </c>
      <c r="C33" s="101" t="s">
        <v>78</v>
      </c>
      <c r="D33" s="201" t="s">
        <v>259</v>
      </c>
      <c r="E33" s="101">
        <f>+B33</f>
        <v>430</v>
      </c>
      <c r="F33" s="101"/>
      <c r="G33" s="101"/>
      <c r="H33" s="101"/>
      <c r="I33" s="101"/>
      <c r="J33" s="101"/>
      <c r="K33" s="101"/>
      <c r="L33" s="101"/>
      <c r="M33" s="101"/>
      <c r="N33" s="101">
        <f t="shared" si="0"/>
        <v>25965.679999999975</v>
      </c>
    </row>
    <row r="34" spans="1:15" x14ac:dyDescent="0.35">
      <c r="A34" s="105">
        <v>44427</v>
      </c>
      <c r="B34" s="101">
        <v>-295.26</v>
      </c>
      <c r="C34" s="101" t="s">
        <v>16</v>
      </c>
      <c r="D34" s="201">
        <v>1060</v>
      </c>
      <c r="E34" s="101"/>
      <c r="F34" s="101"/>
      <c r="G34" s="101"/>
      <c r="H34" s="101">
        <f>+B34</f>
        <v>-295.26</v>
      </c>
      <c r="I34" s="101"/>
      <c r="J34" s="101"/>
      <c r="K34" s="101"/>
      <c r="L34" s="101"/>
      <c r="M34" s="101"/>
      <c r="N34" s="101">
        <f t="shared" si="0"/>
        <v>25670.419999999976</v>
      </c>
      <c r="O34" s="365"/>
    </row>
    <row r="35" spans="1:15" x14ac:dyDescent="0.35">
      <c r="A35" s="105">
        <v>44428</v>
      </c>
      <c r="B35" s="101">
        <v>-550</v>
      </c>
      <c r="C35" s="101" t="s">
        <v>269</v>
      </c>
      <c r="D35" s="201">
        <v>1061</v>
      </c>
      <c r="E35" s="101"/>
      <c r="F35" s="101"/>
      <c r="G35" s="101">
        <f>+B35</f>
        <v>-550</v>
      </c>
      <c r="H35" s="101"/>
      <c r="I35" s="101"/>
      <c r="J35" s="101"/>
      <c r="K35" s="101"/>
      <c r="L35" s="101"/>
      <c r="M35" s="101"/>
      <c r="N35" s="101">
        <f t="shared" si="0"/>
        <v>25120.419999999976</v>
      </c>
    </row>
    <row r="36" spans="1:15" x14ac:dyDescent="0.35">
      <c r="A36" s="105">
        <v>44432</v>
      </c>
      <c r="B36" s="101">
        <v>-86.08</v>
      </c>
      <c r="C36" s="101" t="s">
        <v>5</v>
      </c>
      <c r="D36" s="201" t="s">
        <v>154</v>
      </c>
      <c r="E36" s="101"/>
      <c r="F36" s="101">
        <f>+B36</f>
        <v>-86.08</v>
      </c>
      <c r="G36" s="101"/>
      <c r="H36" s="101"/>
      <c r="I36" s="101"/>
      <c r="J36" s="101"/>
      <c r="K36" s="101"/>
      <c r="L36" s="101"/>
      <c r="M36" s="101"/>
      <c r="N36" s="112">
        <f t="shared" si="0"/>
        <v>25034.339999999975</v>
      </c>
      <c r="O36" s="365" t="s">
        <v>363</v>
      </c>
    </row>
    <row r="37" spans="1:15" x14ac:dyDescent="0.35">
      <c r="A37" s="105">
        <v>44440</v>
      </c>
      <c r="B37" s="101">
        <v>-4</v>
      </c>
      <c r="C37" s="101" t="s">
        <v>86</v>
      </c>
      <c r="D37" s="201" t="s">
        <v>154</v>
      </c>
      <c r="E37" s="101"/>
      <c r="F37" s="101"/>
      <c r="G37" s="101"/>
      <c r="H37" s="101"/>
      <c r="I37" s="101"/>
      <c r="J37" s="101">
        <f>+B37</f>
        <v>-4</v>
      </c>
      <c r="K37" s="101"/>
      <c r="L37" s="101"/>
      <c r="M37" s="101"/>
      <c r="N37" s="101">
        <f t="shared" si="0"/>
        <v>25030.339999999975</v>
      </c>
    </row>
    <row r="38" spans="1:15" x14ac:dyDescent="0.35">
      <c r="A38" s="105">
        <v>44461</v>
      </c>
      <c r="B38" s="101">
        <v>-86.08</v>
      </c>
      <c r="C38" s="101" t="s">
        <v>5</v>
      </c>
      <c r="D38" s="201" t="s">
        <v>154</v>
      </c>
      <c r="E38" s="101"/>
      <c r="F38" s="101">
        <f>+B38</f>
        <v>-86.08</v>
      </c>
      <c r="G38" s="101"/>
      <c r="H38" s="101"/>
      <c r="I38" s="101"/>
      <c r="J38" s="101"/>
      <c r="K38" s="101"/>
      <c r="L38" s="101"/>
      <c r="M38" s="101"/>
      <c r="N38" s="112">
        <f t="shared" si="0"/>
        <v>24944.259999999973</v>
      </c>
      <c r="O38" s="365" t="s">
        <v>365</v>
      </c>
    </row>
    <row r="39" spans="1:15" x14ac:dyDescent="0.35">
      <c r="A39" s="105">
        <v>44470</v>
      </c>
      <c r="B39" s="101">
        <v>-4</v>
      </c>
      <c r="C39" s="101" t="s">
        <v>86</v>
      </c>
      <c r="D39" s="201" t="s">
        <v>154</v>
      </c>
      <c r="E39" s="101"/>
      <c r="F39" s="101"/>
      <c r="G39" s="101"/>
      <c r="H39" s="101"/>
      <c r="I39" s="101"/>
      <c r="J39" s="101">
        <f>+B39</f>
        <v>-4</v>
      </c>
      <c r="K39" s="101"/>
      <c r="L39" s="101"/>
      <c r="M39" s="101"/>
      <c r="N39" s="101">
        <f t="shared" si="0"/>
        <v>24940.259999999973</v>
      </c>
    </row>
    <row r="40" spans="1:15" x14ac:dyDescent="0.35">
      <c r="A40" s="105">
        <v>44488</v>
      </c>
      <c r="B40" s="101">
        <v>-550</v>
      </c>
      <c r="C40" s="101" t="s">
        <v>269</v>
      </c>
      <c r="D40" s="201">
        <v>1066</v>
      </c>
      <c r="E40" s="101"/>
      <c r="F40" s="101"/>
      <c r="G40" s="101">
        <f>+B40</f>
        <v>-550</v>
      </c>
      <c r="H40" s="101"/>
      <c r="I40" s="101"/>
      <c r="J40" s="101"/>
      <c r="K40" s="101"/>
      <c r="L40" s="101"/>
      <c r="M40" s="101"/>
      <c r="N40" s="101">
        <f t="shared" si="0"/>
        <v>24390.259999999973</v>
      </c>
    </row>
    <row r="41" spans="1:15" x14ac:dyDescent="0.35">
      <c r="A41" s="105">
        <v>44488</v>
      </c>
      <c r="B41" s="101">
        <v>-550</v>
      </c>
      <c r="C41" s="101" t="s">
        <v>269</v>
      </c>
      <c r="D41" s="201">
        <v>1067</v>
      </c>
      <c r="E41" s="101"/>
      <c r="F41" s="101"/>
      <c r="G41" s="101">
        <f>+B41</f>
        <v>-550</v>
      </c>
      <c r="H41" s="101"/>
      <c r="I41" s="101"/>
      <c r="J41" s="101"/>
      <c r="K41" s="101"/>
      <c r="L41" s="101"/>
      <c r="M41" s="101"/>
      <c r="N41" s="101">
        <f t="shared" si="0"/>
        <v>23840.259999999973</v>
      </c>
      <c r="O41" s="365"/>
    </row>
    <row r="42" spans="1:15" x14ac:dyDescent="0.35">
      <c r="A42" s="105">
        <v>44491</v>
      </c>
      <c r="B42" s="101">
        <v>-86.08</v>
      </c>
      <c r="C42" s="101" t="s">
        <v>5</v>
      </c>
      <c r="D42" s="201" t="s">
        <v>154</v>
      </c>
      <c r="E42" s="101"/>
      <c r="F42" s="101">
        <f>+B42</f>
        <v>-86.08</v>
      </c>
      <c r="G42" s="101"/>
      <c r="H42" s="101"/>
      <c r="I42" s="101"/>
      <c r="J42" s="101"/>
      <c r="K42" s="101"/>
      <c r="L42" s="101"/>
      <c r="M42" s="101"/>
      <c r="N42" s="112">
        <f t="shared" si="0"/>
        <v>23754.179999999971</v>
      </c>
      <c r="O42" s="365" t="s">
        <v>366</v>
      </c>
    </row>
    <row r="43" spans="1:15" x14ac:dyDescent="0.35">
      <c r="A43" s="105">
        <v>44501</v>
      </c>
      <c r="B43" s="101">
        <v>-4</v>
      </c>
      <c r="C43" s="101" t="s">
        <v>86</v>
      </c>
      <c r="D43" s="201" t="s">
        <v>154</v>
      </c>
      <c r="E43" s="101"/>
      <c r="F43" s="101"/>
      <c r="G43" s="101"/>
      <c r="H43" s="101"/>
      <c r="I43" s="101"/>
      <c r="J43" s="101">
        <f>+B43</f>
        <v>-4</v>
      </c>
      <c r="K43" s="101"/>
      <c r="L43" s="101"/>
      <c r="M43" s="101"/>
      <c r="N43" s="101">
        <f t="shared" si="0"/>
        <v>23750.179999999971</v>
      </c>
    </row>
    <row r="44" spans="1:15" x14ac:dyDescent="0.35">
      <c r="A44" s="105">
        <v>44522</v>
      </c>
      <c r="B44" s="101">
        <v>-550</v>
      </c>
      <c r="C44" s="101" t="s">
        <v>269</v>
      </c>
      <c r="D44" s="201">
        <v>1068</v>
      </c>
      <c r="E44" s="101"/>
      <c r="F44" s="101"/>
      <c r="G44" s="101">
        <f>+B44</f>
        <v>-550</v>
      </c>
      <c r="H44" s="101"/>
      <c r="I44" s="101"/>
      <c r="J44" s="101"/>
      <c r="K44" s="101"/>
      <c r="L44" s="101"/>
      <c r="M44" s="101"/>
      <c r="N44" s="101">
        <f t="shared" si="0"/>
        <v>23200.179999999971</v>
      </c>
    </row>
    <row r="45" spans="1:15" x14ac:dyDescent="0.35">
      <c r="A45" s="105">
        <v>44524</v>
      </c>
      <c r="B45" s="101">
        <v>-86.08</v>
      </c>
      <c r="C45" s="101" t="s">
        <v>5</v>
      </c>
      <c r="D45" s="201" t="s">
        <v>154</v>
      </c>
      <c r="E45" s="101"/>
      <c r="F45" s="101">
        <f>+B45</f>
        <v>-86.08</v>
      </c>
      <c r="G45" s="101"/>
      <c r="H45" s="101"/>
      <c r="I45" s="101"/>
      <c r="J45" s="101"/>
      <c r="K45" s="101"/>
      <c r="L45" s="101"/>
      <c r="M45" s="101"/>
      <c r="N45" s="112">
        <f t="shared" si="0"/>
        <v>23114.099999999969</v>
      </c>
      <c r="O45" s="365" t="s">
        <v>367</v>
      </c>
    </row>
    <row r="46" spans="1:15" x14ac:dyDescent="0.35">
      <c r="A46" s="105">
        <v>44531</v>
      </c>
      <c r="B46" s="101">
        <v>-4</v>
      </c>
      <c r="C46" s="101" t="s">
        <v>86</v>
      </c>
      <c r="D46" s="201" t="s">
        <v>154</v>
      </c>
      <c r="E46" s="101"/>
      <c r="F46" s="101"/>
      <c r="G46" s="101"/>
      <c r="H46" s="101"/>
      <c r="I46" s="101"/>
      <c r="J46" s="101">
        <f>+B46</f>
        <v>-4</v>
      </c>
      <c r="K46" s="101"/>
      <c r="L46" s="101"/>
      <c r="M46" s="101"/>
      <c r="N46" s="101">
        <f t="shared" si="0"/>
        <v>23110.099999999969</v>
      </c>
    </row>
    <row r="47" spans="1:15" x14ac:dyDescent="0.35">
      <c r="A47" s="105">
        <v>44540</v>
      </c>
      <c r="B47" s="101">
        <v>-317.87</v>
      </c>
      <c r="C47" s="414" t="s">
        <v>16</v>
      </c>
      <c r="D47" s="201">
        <v>1069</v>
      </c>
      <c r="G47" s="101"/>
      <c r="H47" s="101">
        <f>+B47</f>
        <v>-317.87</v>
      </c>
      <c r="L47" s="101"/>
      <c r="M47" s="101"/>
      <c r="N47" s="101">
        <f t="shared" si="0"/>
        <v>22792.22999999997</v>
      </c>
    </row>
    <row r="48" spans="1:15" x14ac:dyDescent="0.35">
      <c r="A48" s="105">
        <v>44917</v>
      </c>
      <c r="B48" s="101">
        <v>-86.08</v>
      </c>
      <c r="C48" s="101" t="s">
        <v>5</v>
      </c>
      <c r="D48" s="201" t="s">
        <v>154</v>
      </c>
      <c r="E48" s="101"/>
      <c r="F48" s="101">
        <f>+B48</f>
        <v>-86.08</v>
      </c>
      <c r="G48" s="101"/>
      <c r="H48" s="101"/>
      <c r="I48" s="101"/>
      <c r="J48" s="101"/>
      <c r="K48" s="101"/>
      <c r="L48" s="101"/>
      <c r="M48" s="101"/>
      <c r="N48" s="112">
        <f t="shared" si="0"/>
        <v>22706.149999999969</v>
      </c>
      <c r="O48" s="365" t="s">
        <v>368</v>
      </c>
    </row>
    <row r="49" spans="1:14" x14ac:dyDescent="0.35">
      <c r="A49" s="105"/>
      <c r="B49" s="101"/>
      <c r="C49" s="101"/>
      <c r="D49" s="148"/>
      <c r="E49" s="101"/>
      <c r="F49" s="101"/>
      <c r="G49" s="101"/>
      <c r="H49" s="101"/>
      <c r="I49" s="101"/>
      <c r="J49" s="101"/>
      <c r="K49" s="101"/>
      <c r="L49" s="101"/>
      <c r="M49" s="101"/>
      <c r="N49" s="101"/>
    </row>
    <row r="50" spans="1:14" x14ac:dyDescent="0.35">
      <c r="B50" s="101">
        <f>SUM(B6:B49)</f>
        <v>4958.1100000000015</v>
      </c>
      <c r="C50" s="101"/>
      <c r="D50" s="101"/>
      <c r="E50" s="101">
        <f t="shared" ref="E50:L50" si="1">SUM(E6:E49)</f>
        <v>13760</v>
      </c>
      <c r="F50" s="101">
        <f t="shared" si="1"/>
        <v>-1032.9600000000003</v>
      </c>
      <c r="G50" s="101">
        <f t="shared" si="1"/>
        <v>-6050</v>
      </c>
      <c r="H50" s="101">
        <f t="shared" si="1"/>
        <v>-1077.3899999999999</v>
      </c>
      <c r="I50" s="101">
        <f t="shared" si="1"/>
        <v>0</v>
      </c>
      <c r="J50" s="101">
        <f t="shared" si="1"/>
        <v>-48</v>
      </c>
      <c r="K50" s="101">
        <f t="shared" si="1"/>
        <v>0</v>
      </c>
      <c r="L50" s="101">
        <f t="shared" si="1"/>
        <v>-593.54</v>
      </c>
      <c r="M50" s="112">
        <f>SUM(E50:L50)</f>
        <v>4958.1099999999997</v>
      </c>
      <c r="N50" s="112" t="s">
        <v>369</v>
      </c>
    </row>
    <row r="51" spans="1:14" x14ac:dyDescent="0.35">
      <c r="B51" s="101"/>
      <c r="C51" s="106" t="s">
        <v>90</v>
      </c>
      <c r="D51" s="106"/>
      <c r="E51" s="107">
        <v>430</v>
      </c>
      <c r="F51" s="107"/>
      <c r="G51" s="107"/>
      <c r="H51" s="101"/>
      <c r="I51" s="101"/>
      <c r="J51" s="101"/>
      <c r="K51" s="101"/>
      <c r="L51" s="101"/>
      <c r="M51" s="101"/>
      <c r="N51" s="101"/>
    </row>
    <row r="52" spans="1:14" x14ac:dyDescent="0.35">
      <c r="B52" s="101"/>
      <c r="C52" s="106" t="s">
        <v>89</v>
      </c>
      <c r="D52" s="106"/>
      <c r="E52" s="149">
        <f>+E50/E51</f>
        <v>32</v>
      </c>
      <c r="F52" s="149"/>
      <c r="G52" s="150"/>
      <c r="H52" s="101"/>
      <c r="I52" s="101"/>
      <c r="J52" s="101"/>
      <c r="K52" s="101"/>
      <c r="L52" s="101"/>
      <c r="M52" s="101"/>
      <c r="N52" s="101"/>
    </row>
    <row r="53" spans="1:14" x14ac:dyDescent="0.35">
      <c r="C53" s="106" t="s">
        <v>117</v>
      </c>
      <c r="D53" s="106"/>
      <c r="E53" s="151">
        <v>32</v>
      </c>
      <c r="N53" s="101"/>
    </row>
    <row r="54" spans="1:14" x14ac:dyDescent="0.35">
      <c r="C54" s="106" t="s">
        <v>118</v>
      </c>
      <c r="D54" s="106"/>
      <c r="E54" s="150">
        <f>+E52-E53</f>
        <v>0</v>
      </c>
    </row>
  </sheetData>
  <pageMargins left="0.7" right="0.7" top="0.5" bottom="0.25" header="0.3" footer="0.3"/>
  <pageSetup scale="54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  <pageSetUpPr fitToPage="1"/>
  </sheetPr>
  <dimension ref="A1:S218"/>
  <sheetViews>
    <sheetView showGridLines="0" zoomScale="80" zoomScaleNormal="80" workbookViewId="0">
      <selection activeCell="L16" sqref="L16"/>
    </sheetView>
  </sheetViews>
  <sheetFormatPr defaultColWidth="8.6328125" defaultRowHeight="15.5" x14ac:dyDescent="0.35"/>
  <cols>
    <col min="1" max="1" width="13.6328125" style="1" customWidth="1"/>
    <col min="2" max="2" width="44" style="1" customWidth="1"/>
    <col min="3" max="3" width="12.6328125" style="1" customWidth="1"/>
    <col min="4" max="4" width="2.6328125" style="1" customWidth="1"/>
    <col min="5" max="5" width="12.6328125" style="2" customWidth="1"/>
    <col min="6" max="6" width="12.6328125" style="1" customWidth="1"/>
    <col min="7" max="7" width="2.6328125" style="1" customWidth="1"/>
    <col min="8" max="8" width="13.6328125" style="1" customWidth="1"/>
    <col min="9" max="9" width="2.453125" style="1" customWidth="1"/>
    <col min="10" max="10" width="13.90625" style="1" customWidth="1"/>
    <col min="11" max="11" width="10.1796875" style="1" customWidth="1"/>
    <col min="12" max="12" width="13.54296875" style="1" customWidth="1"/>
    <col min="13" max="14" width="14.6328125" style="1" customWidth="1"/>
    <col min="15" max="15" width="8.6328125" style="1"/>
    <col min="16" max="19" width="12.6328125" style="1" customWidth="1"/>
    <col min="20" max="16384" width="8.6328125" style="1"/>
  </cols>
  <sheetData>
    <row r="1" spans="1:12" ht="51" customHeight="1" x14ac:dyDescent="0.45">
      <c r="A1" s="110" t="s">
        <v>177</v>
      </c>
      <c r="C1" s="256">
        <v>2018</v>
      </c>
      <c r="D1" s="257"/>
      <c r="E1" s="493">
        <v>2019</v>
      </c>
      <c r="F1" s="494"/>
      <c r="G1" s="258"/>
      <c r="H1" s="393">
        <v>2020</v>
      </c>
      <c r="I1" s="394"/>
      <c r="J1" s="395" t="s">
        <v>317</v>
      </c>
      <c r="K1" s="394"/>
      <c r="L1" s="396">
        <v>2020</v>
      </c>
    </row>
    <row r="2" spans="1:12" ht="16.5" customHeight="1" x14ac:dyDescent="0.35">
      <c r="C2" s="248" t="s">
        <v>61</v>
      </c>
      <c r="D2" s="212"/>
      <c r="E2" s="222" t="s">
        <v>62</v>
      </c>
      <c r="F2" s="223" t="s">
        <v>61</v>
      </c>
      <c r="H2" s="392" t="s">
        <v>62</v>
      </c>
      <c r="J2" s="392" t="s">
        <v>62</v>
      </c>
      <c r="L2" s="397" t="s">
        <v>61</v>
      </c>
    </row>
    <row r="3" spans="1:12" hidden="1" x14ac:dyDescent="0.35">
      <c r="A3" s="1" t="s">
        <v>57</v>
      </c>
      <c r="C3" s="249" t="e">
        <f>+#REF!</f>
        <v>#REF!</v>
      </c>
      <c r="D3" s="213"/>
      <c r="E3" s="224">
        <f>+C29</f>
        <v>23374.07</v>
      </c>
      <c r="F3" s="225">
        <f>+C29</f>
        <v>23374.07</v>
      </c>
      <c r="H3" s="242"/>
      <c r="J3" s="242"/>
      <c r="L3" s="398"/>
    </row>
    <row r="4" spans="1:12" hidden="1" x14ac:dyDescent="0.35">
      <c r="A4" s="1" t="s">
        <v>58</v>
      </c>
      <c r="C4" s="250" t="e">
        <f>+C5-C3</f>
        <v>#REF!</v>
      </c>
      <c r="D4" s="214"/>
      <c r="E4" s="226">
        <f>+E5-E3</f>
        <v>-4</v>
      </c>
      <c r="F4" s="227">
        <f>+F5-F3</f>
        <v>0</v>
      </c>
      <c r="H4" s="243"/>
      <c r="J4" s="243"/>
      <c r="L4" s="398"/>
    </row>
    <row r="5" spans="1:12" x14ac:dyDescent="0.35">
      <c r="A5" s="37" t="s">
        <v>1</v>
      </c>
      <c r="B5" s="38"/>
      <c r="C5" s="251">
        <f>+'2018 Ck Reg'!M2</f>
        <v>23160.1</v>
      </c>
      <c r="D5" s="215"/>
      <c r="E5" s="228">
        <v>23370.07</v>
      </c>
      <c r="F5" s="229">
        <f>+'2019 ByMo'!D2</f>
        <v>23374.07</v>
      </c>
      <c r="H5" s="315">
        <f>+F29</f>
        <v>17009.909999999996</v>
      </c>
      <c r="J5" s="315">
        <v>17422.96</v>
      </c>
      <c r="L5" s="399">
        <f>+'2020 ByMo'!D2</f>
        <v>17009.909999999996</v>
      </c>
    </row>
    <row r="6" spans="1:12" ht="6.9" customHeight="1" x14ac:dyDescent="0.35">
      <c r="A6" s="37"/>
      <c r="B6" s="38"/>
      <c r="C6" s="252"/>
      <c r="D6" s="216"/>
      <c r="E6" s="228"/>
      <c r="F6" s="225"/>
      <c r="H6" s="44"/>
      <c r="J6" s="44"/>
      <c r="L6" s="400"/>
    </row>
    <row r="7" spans="1:12" x14ac:dyDescent="0.35">
      <c r="A7" s="24" t="s">
        <v>44</v>
      </c>
      <c r="B7" s="211" t="s">
        <v>178</v>
      </c>
      <c r="C7" s="39">
        <v>375</v>
      </c>
      <c r="D7" s="217"/>
      <c r="E7" s="230">
        <v>375</v>
      </c>
      <c r="F7" s="231">
        <v>375</v>
      </c>
      <c r="G7" s="42"/>
      <c r="H7" s="44">
        <f>+'2020 ByMo'!B5</f>
        <v>430</v>
      </c>
      <c r="J7" s="44">
        <v>430</v>
      </c>
      <c r="L7" s="401">
        <f>+'2020 ByMo'!B5</f>
        <v>430</v>
      </c>
    </row>
    <row r="8" spans="1:12" x14ac:dyDescent="0.35">
      <c r="A8" s="1" t="s">
        <v>201</v>
      </c>
      <c r="C8" s="33">
        <f>+'2018 Ck Reg'!D56</f>
        <v>10500</v>
      </c>
      <c r="D8" s="309"/>
      <c r="E8" s="235">
        <v>12000</v>
      </c>
      <c r="F8" s="234">
        <f>+'2019 ByMo'!D5</f>
        <v>13125</v>
      </c>
      <c r="G8" s="261"/>
      <c r="H8" s="245">
        <f>+'2020 ByMo'!C5</f>
        <v>13760</v>
      </c>
      <c r="J8" s="245">
        <v>13760</v>
      </c>
      <c r="L8" s="402">
        <f>+'2020 ByMo'!D5</f>
        <v>13760</v>
      </c>
    </row>
    <row r="9" spans="1:12" ht="18.5" hidden="1" x14ac:dyDescent="0.65">
      <c r="A9" s="1" t="s">
        <v>73</v>
      </c>
      <c r="C9" s="253">
        <v>0</v>
      </c>
      <c r="D9" s="64"/>
      <c r="E9" s="233">
        <v>0</v>
      </c>
      <c r="F9" s="234">
        <v>0</v>
      </c>
      <c r="H9" s="244">
        <v>0</v>
      </c>
      <c r="J9" s="244">
        <v>0</v>
      </c>
      <c r="L9" s="400"/>
    </row>
    <row r="10" spans="1:12" x14ac:dyDescent="0.35">
      <c r="A10" s="94" t="s">
        <v>49</v>
      </c>
      <c r="C10" s="54">
        <f>+C8+C9</f>
        <v>10500</v>
      </c>
      <c r="D10" s="218"/>
      <c r="E10" s="232">
        <f>+E8+E9</f>
        <v>12000</v>
      </c>
      <c r="F10" s="221">
        <f>+F8+F9</f>
        <v>13125</v>
      </c>
      <c r="H10" s="43">
        <f>+H8+H9</f>
        <v>13760</v>
      </c>
      <c r="J10" s="43">
        <v>13760</v>
      </c>
      <c r="L10" s="400">
        <f>+L8</f>
        <v>13760</v>
      </c>
    </row>
    <row r="11" spans="1:12" ht="6.9" customHeight="1" x14ac:dyDescent="0.35">
      <c r="C11" s="32"/>
      <c r="D11" s="23"/>
      <c r="E11" s="232"/>
      <c r="F11" s="225"/>
      <c r="H11" s="43"/>
      <c r="J11" s="43"/>
      <c r="L11" s="400"/>
    </row>
    <row r="12" spans="1:12" x14ac:dyDescent="0.35">
      <c r="A12" s="24" t="s">
        <v>3</v>
      </c>
      <c r="C12" s="32"/>
      <c r="D12" s="23"/>
      <c r="E12" s="232"/>
      <c r="F12" s="225"/>
      <c r="H12" s="43"/>
      <c r="J12" s="43"/>
      <c r="L12" s="400"/>
    </row>
    <row r="13" spans="1:12" x14ac:dyDescent="0.35">
      <c r="A13" s="1" t="s">
        <v>272</v>
      </c>
      <c r="B13" s="1" t="s">
        <v>302</v>
      </c>
      <c r="C13" s="254">
        <f>-'2018 Ck Reg'!F56</f>
        <v>8002.46</v>
      </c>
      <c r="D13" s="214"/>
      <c r="E13" s="232">
        <v>10200</v>
      </c>
      <c r="F13" s="225">
        <f>+'2019 ByMo'!D9</f>
        <v>8142.25</v>
      </c>
      <c r="H13" s="43">
        <f>+'2020 ByMo'!C9</f>
        <v>6660</v>
      </c>
      <c r="J13" s="43">
        <v>6660</v>
      </c>
      <c r="L13" s="400">
        <f>+'2020 ByMo'!D9</f>
        <v>6600</v>
      </c>
    </row>
    <row r="14" spans="1:12" x14ac:dyDescent="0.35">
      <c r="B14" s="1" t="s">
        <v>303</v>
      </c>
      <c r="C14" s="254"/>
      <c r="D14" s="214"/>
      <c r="E14" s="232">
        <v>500</v>
      </c>
      <c r="F14" s="225">
        <f>+'2019 ByMo'!D10</f>
        <v>432.57000000000005</v>
      </c>
      <c r="H14" s="43">
        <f>+'2020 ByMo'!C10</f>
        <v>1480</v>
      </c>
      <c r="J14" s="43">
        <v>1480</v>
      </c>
      <c r="L14" s="400">
        <f>+'2020 ByMo'!D10</f>
        <v>726.24999999999989</v>
      </c>
    </row>
    <row r="15" spans="1:12" x14ac:dyDescent="0.35">
      <c r="B15" s="1" t="s">
        <v>304</v>
      </c>
      <c r="C15" s="254"/>
      <c r="D15" s="214"/>
      <c r="E15" s="232">
        <v>4750</v>
      </c>
      <c r="F15" s="225">
        <f>+'2019 ByMo'!D11</f>
        <v>8799.75</v>
      </c>
      <c r="H15" s="43">
        <f>+'2020 ByMo'!C11</f>
        <v>2580</v>
      </c>
      <c r="J15" s="43">
        <v>2580</v>
      </c>
      <c r="L15" s="400">
        <f>+'2020 ByMo'!D11</f>
        <v>2850</v>
      </c>
    </row>
    <row r="16" spans="1:12" ht="14.4" customHeight="1" x14ac:dyDescent="0.35">
      <c r="C16" s="254"/>
      <c r="D16" s="214"/>
      <c r="E16" s="232"/>
      <c r="F16" s="225"/>
      <c r="H16" s="43"/>
      <c r="J16" s="43"/>
      <c r="L16" s="400"/>
    </row>
    <row r="17" spans="1:12" ht="15.75" customHeight="1" x14ac:dyDescent="0.35">
      <c r="A17" s="1" t="s">
        <v>48</v>
      </c>
      <c r="B17" s="1" t="s">
        <v>305</v>
      </c>
      <c r="C17" s="32">
        <f>-'2018 Ck Reg'!E56</f>
        <v>702</v>
      </c>
      <c r="D17" s="23"/>
      <c r="E17" s="232">
        <v>780</v>
      </c>
      <c r="F17" s="225">
        <f>+'2019 ByMo'!D13</f>
        <v>790.7</v>
      </c>
      <c r="H17" s="43">
        <f>+'2020 ByMo'!C13</f>
        <v>1050.0000000000002</v>
      </c>
      <c r="J17" s="43">
        <v>1050.0000000000002</v>
      </c>
      <c r="L17" s="400">
        <f>+'2020 ByMo'!D13</f>
        <v>1048.7300000000002</v>
      </c>
    </row>
    <row r="18" spans="1:12" ht="6.9" customHeight="1" x14ac:dyDescent="0.35">
      <c r="C18" s="254"/>
      <c r="D18" s="214"/>
      <c r="E18" s="232"/>
      <c r="F18" s="225"/>
      <c r="H18" s="43"/>
      <c r="J18" s="43"/>
      <c r="L18" s="400"/>
    </row>
    <row r="19" spans="1:12" ht="15.75" customHeight="1" x14ac:dyDescent="0.35">
      <c r="A19" s="1" t="s">
        <v>46</v>
      </c>
      <c r="B19" s="1" t="s">
        <v>253</v>
      </c>
      <c r="C19" s="254">
        <f>-'2018 Ck Reg'!I56-'2018 Ck Reg'!J56</f>
        <v>52.3</v>
      </c>
      <c r="D19" s="214"/>
      <c r="E19" s="232">
        <v>105</v>
      </c>
      <c r="F19" s="225">
        <f>+'2019 ByMo'!D15</f>
        <v>68</v>
      </c>
      <c r="H19" s="43">
        <f>+'2020 ByMo'!C15</f>
        <v>50</v>
      </c>
      <c r="J19" s="43">
        <v>50</v>
      </c>
      <c r="L19" s="400">
        <f>+'2020 ByMo'!D15</f>
        <v>119.5</v>
      </c>
    </row>
    <row r="20" spans="1:12" ht="6.9" customHeight="1" x14ac:dyDescent="0.35">
      <c r="C20" s="32"/>
      <c r="D20" s="23"/>
      <c r="E20" s="232"/>
      <c r="F20" s="225"/>
      <c r="H20" s="43"/>
      <c r="J20" s="43"/>
      <c r="L20" s="400"/>
    </row>
    <row r="21" spans="1:12" x14ac:dyDescent="0.35">
      <c r="A21" s="1" t="s">
        <v>45</v>
      </c>
      <c r="B21" s="1" t="s">
        <v>16</v>
      </c>
      <c r="C21" s="254">
        <f>-'2018 Ck Reg'!G56</f>
        <v>1152.77</v>
      </c>
      <c r="D21" s="214"/>
      <c r="E21" s="232">
        <v>1200</v>
      </c>
      <c r="F21" s="225">
        <f>+'2019 ByMo'!D17</f>
        <v>647.21999999999991</v>
      </c>
      <c r="H21" s="43">
        <f>+'2020 ByMo'!C17</f>
        <v>1170</v>
      </c>
      <c r="J21" s="43">
        <v>1170</v>
      </c>
      <c r="L21" s="400">
        <f>+'2020 ByMo'!D17</f>
        <v>1298.5500000000002</v>
      </c>
    </row>
    <row r="22" spans="1:12" x14ac:dyDescent="0.35">
      <c r="B22" s="1" t="s">
        <v>17</v>
      </c>
      <c r="C22" s="254">
        <f>-'2018 Ck Reg'!H56</f>
        <v>126.5</v>
      </c>
      <c r="D22" s="214"/>
      <c r="E22" s="232">
        <v>150</v>
      </c>
      <c r="F22" s="225">
        <f>+'2019 ByMo'!D18</f>
        <v>93.490000000000009</v>
      </c>
      <c r="H22" s="43">
        <f>+'2020 ByMo'!C18</f>
        <v>0</v>
      </c>
      <c r="J22" s="43">
        <v>0</v>
      </c>
      <c r="L22" s="400">
        <f>+'2020 ByMo'!D18</f>
        <v>0</v>
      </c>
    </row>
    <row r="23" spans="1:12" ht="6.9" customHeight="1" x14ac:dyDescent="0.35">
      <c r="C23" s="32"/>
      <c r="D23" s="23"/>
      <c r="E23" s="232"/>
      <c r="F23" s="225"/>
      <c r="H23" s="43"/>
      <c r="J23" s="43"/>
      <c r="L23" s="400"/>
    </row>
    <row r="24" spans="1:12" x14ac:dyDescent="0.35">
      <c r="A24" s="1" t="s">
        <v>56</v>
      </c>
      <c r="B24" s="1" t="s">
        <v>30</v>
      </c>
      <c r="C24" s="32"/>
      <c r="D24" s="23"/>
      <c r="E24" s="232">
        <v>50</v>
      </c>
      <c r="F24" s="225">
        <f>+'2019 ByMo'!D20</f>
        <v>171.9</v>
      </c>
      <c r="H24" s="43">
        <f>+'2020 ByMo'!C20</f>
        <v>330</v>
      </c>
      <c r="J24" s="43">
        <v>330</v>
      </c>
      <c r="L24" s="400">
        <f>+'2020 ByMo'!D20</f>
        <v>378.84</v>
      </c>
    </row>
    <row r="25" spans="1:12" x14ac:dyDescent="0.35">
      <c r="B25" s="1" t="s">
        <v>283</v>
      </c>
      <c r="C25" s="54">
        <f>-'2018 Ck Reg'!K38</f>
        <v>250</v>
      </c>
      <c r="D25" s="218"/>
      <c r="E25" s="232">
        <f>165+55</f>
        <v>220</v>
      </c>
      <c r="F25" s="225">
        <f>+'2019 ByMo'!D21+'2019 ByMo'!D22</f>
        <v>343.28</v>
      </c>
      <c r="H25" s="43">
        <f>+'2020 ByMo'!C21+'2020 ByMo'!C22</f>
        <v>140</v>
      </c>
      <c r="J25" s="43">
        <v>140</v>
      </c>
      <c r="L25" s="400">
        <f>+'2020 ByMo'!D21</f>
        <v>0</v>
      </c>
    </row>
    <row r="26" spans="1:12" x14ac:dyDescent="0.35">
      <c r="B26" s="1" t="s">
        <v>159</v>
      </c>
      <c r="C26" s="259">
        <v>0</v>
      </c>
      <c r="D26" s="260"/>
      <c r="E26" s="235">
        <v>0</v>
      </c>
      <c r="F26" s="234">
        <f>+'2019 ByMo'!D23</f>
        <v>0</v>
      </c>
      <c r="G26" s="261"/>
      <c r="H26" s="245">
        <f>+'2020 ByMo'!C23</f>
        <v>300</v>
      </c>
      <c r="J26" s="245">
        <v>300</v>
      </c>
      <c r="L26" s="402">
        <f>+'2020 ByMo'!D22</f>
        <v>0</v>
      </c>
    </row>
    <row r="27" spans="1:12" ht="18.5" x14ac:dyDescent="0.65">
      <c r="A27" s="3" t="s">
        <v>24</v>
      </c>
      <c r="C27" s="255">
        <f>SUM(C13:C26)</f>
        <v>10286.029999999999</v>
      </c>
      <c r="D27" s="219"/>
      <c r="E27" s="236">
        <f>SUM(E13:E26)</f>
        <v>17955</v>
      </c>
      <c r="F27" s="237">
        <f>SUM(F13:F26)</f>
        <v>19489.160000000003</v>
      </c>
      <c r="H27" s="246">
        <f>SUM(H13:H26)</f>
        <v>13760</v>
      </c>
      <c r="J27" s="246">
        <f>SUM(J13:J26)</f>
        <v>13760</v>
      </c>
      <c r="L27" s="403">
        <f>SUM(L13:L26)</f>
        <v>13021.869999999999</v>
      </c>
    </row>
    <row r="28" spans="1:12" ht="1.5" customHeight="1" x14ac:dyDescent="0.65">
      <c r="C28" s="255"/>
      <c r="D28" s="219"/>
      <c r="E28" s="238"/>
      <c r="F28" s="237"/>
      <c r="H28" s="247"/>
      <c r="J28" s="247"/>
      <c r="L28" s="398"/>
    </row>
    <row r="29" spans="1:12" ht="16" thickBot="1" x14ac:dyDescent="0.4">
      <c r="A29" s="3" t="s">
        <v>50</v>
      </c>
      <c r="C29" s="55">
        <f>+C5+C10-C27</f>
        <v>23374.07</v>
      </c>
      <c r="D29" s="216"/>
      <c r="E29" s="239">
        <f>+E5+E10-E27</f>
        <v>17415.07</v>
      </c>
      <c r="F29" s="240">
        <f>+F5+F10-F27</f>
        <v>17009.909999999996</v>
      </c>
      <c r="H29" s="209">
        <f>+H5+H10-H27</f>
        <v>17009.909999999996</v>
      </c>
      <c r="I29" s="404"/>
      <c r="J29" s="209">
        <f>+J5+J10-J27</f>
        <v>17422.96</v>
      </c>
      <c r="K29" s="404"/>
      <c r="L29" s="240">
        <f>+L5+L10-L27</f>
        <v>17748.039999999997</v>
      </c>
    </row>
    <row r="30" spans="1:12" ht="9.75" customHeight="1" thickBot="1" x14ac:dyDescent="0.4">
      <c r="A30" s="3"/>
      <c r="C30" s="216"/>
      <c r="D30" s="216"/>
      <c r="E30" s="215"/>
      <c r="F30" s="215"/>
      <c r="H30" s="215"/>
    </row>
    <row r="31" spans="1:12" ht="16.5" customHeight="1" thickBot="1" x14ac:dyDescent="0.4">
      <c r="C31" s="220" t="s">
        <v>151</v>
      </c>
      <c r="D31" s="220"/>
      <c r="F31" s="241">
        <f>+F29-E29</f>
        <v>-405.16000000000349</v>
      </c>
      <c r="J31" s="23"/>
    </row>
    <row r="32" spans="1:12" ht="5.25" customHeight="1" x14ac:dyDescent="0.35">
      <c r="C32" s="220"/>
      <c r="D32" s="220"/>
      <c r="F32" s="215"/>
    </row>
    <row r="33" spans="1:16" ht="19.5" customHeight="1" x14ac:dyDescent="0.35">
      <c r="A33" s="24" t="s">
        <v>53</v>
      </c>
      <c r="B33" s="155"/>
      <c r="C33" s="180"/>
      <c r="D33" s="180"/>
      <c r="E33" s="165"/>
    </row>
    <row r="34" spans="1:16" ht="17.25" customHeight="1" x14ac:dyDescent="0.35">
      <c r="A34" s="192" t="s">
        <v>236</v>
      </c>
      <c r="B34" s="183"/>
      <c r="C34" s="286">
        <f>+C1</f>
        <v>2018</v>
      </c>
      <c r="D34" s="183"/>
      <c r="E34" s="274"/>
      <c r="F34" s="286">
        <f>+E1</f>
        <v>2019</v>
      </c>
      <c r="G34" s="208"/>
      <c r="H34" s="187"/>
    </row>
    <row r="35" spans="1:16" x14ac:dyDescent="0.35">
      <c r="A35" s="185"/>
      <c r="B35" s="186" t="s">
        <v>153</v>
      </c>
      <c r="C35" s="160">
        <f>(+C8/375)-32</f>
        <v>-4</v>
      </c>
      <c r="D35" s="287"/>
      <c r="E35" s="275"/>
      <c r="F35" s="160">
        <f>(+F8/375)-32</f>
        <v>3</v>
      </c>
      <c r="G35" s="186"/>
      <c r="H35" s="189"/>
    </row>
    <row r="36" spans="1:16" ht="15.75" customHeight="1" x14ac:dyDescent="0.35">
      <c r="A36" s="498" t="s">
        <v>306</v>
      </c>
      <c r="B36" s="499"/>
      <c r="C36" s="499"/>
      <c r="D36" s="499"/>
      <c r="E36" s="499"/>
      <c r="F36" s="499"/>
      <c r="G36" s="499"/>
      <c r="H36" s="500"/>
      <c r="I36" s="265"/>
      <c r="J36" s="265"/>
      <c r="K36" s="265"/>
    </row>
    <row r="37" spans="1:16" ht="45.75" customHeight="1" x14ac:dyDescent="0.35">
      <c r="A37" s="501"/>
      <c r="B37" s="502"/>
      <c r="C37" s="502"/>
      <c r="D37" s="502"/>
      <c r="E37" s="502"/>
      <c r="F37" s="502"/>
      <c r="G37" s="502"/>
      <c r="H37" s="503"/>
      <c r="I37" s="265"/>
      <c r="J37" s="265"/>
      <c r="K37" s="265"/>
    </row>
    <row r="38" spans="1:16" x14ac:dyDescent="0.35">
      <c r="A38" s="481" t="s">
        <v>307</v>
      </c>
      <c r="B38" s="482"/>
      <c r="C38" s="482"/>
      <c r="D38" s="482"/>
      <c r="E38" s="482"/>
      <c r="F38" s="482"/>
      <c r="G38" s="482"/>
      <c r="H38" s="483"/>
    </row>
    <row r="39" spans="1:16" ht="15.75" customHeight="1" x14ac:dyDescent="0.35">
      <c r="A39" s="484" t="s">
        <v>320</v>
      </c>
      <c r="B39" s="485"/>
      <c r="C39" s="485"/>
      <c r="D39" s="485"/>
      <c r="E39" s="485"/>
      <c r="F39" s="485"/>
      <c r="G39" s="485"/>
      <c r="H39" s="486"/>
      <c r="I39" s="266"/>
      <c r="J39" s="266"/>
      <c r="K39" s="266"/>
      <c r="L39" s="266"/>
      <c r="M39" s="266"/>
      <c r="N39" s="266"/>
      <c r="O39" s="266"/>
      <c r="P39" s="266"/>
    </row>
    <row r="40" spans="1:16" x14ac:dyDescent="0.35">
      <c r="A40" s="487"/>
      <c r="B40" s="488"/>
      <c r="C40" s="488"/>
      <c r="D40" s="488"/>
      <c r="E40" s="488"/>
      <c r="F40" s="488"/>
      <c r="G40" s="488"/>
      <c r="H40" s="489"/>
      <c r="I40" s="266"/>
      <c r="J40" s="266"/>
      <c r="K40" s="266"/>
      <c r="L40" s="266"/>
      <c r="M40" s="266"/>
      <c r="N40" s="266"/>
      <c r="O40" s="266"/>
      <c r="P40" s="266"/>
    </row>
    <row r="41" spans="1:16" ht="67.5" customHeight="1" x14ac:dyDescent="0.35">
      <c r="A41" s="490"/>
      <c r="B41" s="491"/>
      <c r="C41" s="491"/>
      <c r="D41" s="491"/>
      <c r="E41" s="491"/>
      <c r="F41" s="491"/>
      <c r="G41" s="491"/>
      <c r="H41" s="492"/>
      <c r="I41" s="266"/>
      <c r="J41" s="266"/>
      <c r="K41" s="266"/>
      <c r="L41" s="266"/>
      <c r="M41" s="266"/>
      <c r="N41" s="266"/>
      <c r="O41" s="266"/>
      <c r="P41" s="266"/>
    </row>
    <row r="42" spans="1:16" x14ac:dyDescent="0.35">
      <c r="A42" s="495" t="s">
        <v>308</v>
      </c>
      <c r="B42" s="496"/>
      <c r="C42" s="496"/>
      <c r="D42" s="496"/>
      <c r="E42" s="496"/>
      <c r="F42" s="496"/>
      <c r="G42" s="496"/>
      <c r="H42" s="497"/>
    </row>
    <row r="48" spans="1:16" s="9" customFormat="1" x14ac:dyDescent="0.35">
      <c r="A48" s="1"/>
      <c r="B48" s="1"/>
      <c r="C48" s="1"/>
      <c r="D48" s="1"/>
      <c r="E48" s="2"/>
    </row>
    <row r="49" spans="1:19" s="9" customFormat="1" ht="17" x14ac:dyDescent="0.5">
      <c r="A49" s="1"/>
      <c r="B49" s="1"/>
      <c r="C49" s="1"/>
      <c r="D49" s="1"/>
      <c r="E49" s="2"/>
      <c r="K49" s="292" t="s">
        <v>163</v>
      </c>
      <c r="L49" s="292" t="s">
        <v>60</v>
      </c>
      <c r="M49" s="292" t="s">
        <v>55</v>
      </c>
      <c r="N49" s="292" t="s">
        <v>234</v>
      </c>
      <c r="P49" s="292" t="s">
        <v>163</v>
      </c>
      <c r="Q49" s="292" t="s">
        <v>60</v>
      </c>
      <c r="R49" s="292" t="s">
        <v>55</v>
      </c>
      <c r="S49" s="292" t="s">
        <v>234</v>
      </c>
    </row>
    <row r="50" spans="1:19" s="9" customFormat="1" x14ac:dyDescent="0.35">
      <c r="A50" s="1"/>
      <c r="J50" s="155" t="s">
        <v>274</v>
      </c>
      <c r="K50" s="283">
        <f>+C13</f>
        <v>8002.46</v>
      </c>
      <c r="L50" s="283">
        <f t="shared" ref="L50:M52" si="0">+E13</f>
        <v>10200</v>
      </c>
      <c r="M50" s="283">
        <f t="shared" si="0"/>
        <v>8142.25</v>
      </c>
      <c r="N50" s="283">
        <f>+H13</f>
        <v>6660</v>
      </c>
      <c r="P50" s="294">
        <f t="shared" ref="P50:S56" si="1">+K50/32</f>
        <v>250.076875</v>
      </c>
      <c r="Q50" s="294">
        <f t="shared" si="1"/>
        <v>318.75</v>
      </c>
      <c r="R50" s="294">
        <f t="shared" si="1"/>
        <v>254.4453125</v>
      </c>
      <c r="S50" s="294">
        <f t="shared" si="1"/>
        <v>208.125</v>
      </c>
    </row>
    <row r="51" spans="1:19" s="9" customFormat="1" x14ac:dyDescent="0.35">
      <c r="A51" s="1"/>
      <c r="J51" s="155" t="s">
        <v>275</v>
      </c>
      <c r="K51" s="283">
        <f>+C14</f>
        <v>0</v>
      </c>
      <c r="L51" s="283">
        <f t="shared" si="0"/>
        <v>500</v>
      </c>
      <c r="M51" s="283">
        <f t="shared" si="0"/>
        <v>432.57000000000005</v>
      </c>
      <c r="N51" s="283">
        <f>+H14</f>
        <v>1480</v>
      </c>
      <c r="P51" s="294">
        <f t="shared" si="1"/>
        <v>0</v>
      </c>
      <c r="Q51" s="294">
        <f t="shared" si="1"/>
        <v>15.625</v>
      </c>
      <c r="R51" s="294">
        <f t="shared" si="1"/>
        <v>13.517812500000002</v>
      </c>
      <c r="S51" s="294">
        <f t="shared" si="1"/>
        <v>46.25</v>
      </c>
    </row>
    <row r="52" spans="1:19" s="9" customFormat="1" x14ac:dyDescent="0.35">
      <c r="A52" s="1"/>
      <c r="J52" s="155" t="s">
        <v>284</v>
      </c>
      <c r="K52" s="283">
        <f>+C15</f>
        <v>0</v>
      </c>
      <c r="L52" s="283">
        <f t="shared" si="0"/>
        <v>4750</v>
      </c>
      <c r="M52" s="283">
        <f t="shared" si="0"/>
        <v>8799.75</v>
      </c>
      <c r="N52" s="283">
        <f>+H15</f>
        <v>2580</v>
      </c>
      <c r="P52" s="294">
        <f>+K52/32</f>
        <v>0</v>
      </c>
      <c r="Q52" s="294">
        <f>+L52/32</f>
        <v>148.4375</v>
      </c>
      <c r="R52" s="294">
        <f>+M52/32</f>
        <v>274.9921875</v>
      </c>
      <c r="S52" s="294">
        <f>+N52/32</f>
        <v>80.625</v>
      </c>
    </row>
    <row r="53" spans="1:19" s="9" customFormat="1" x14ac:dyDescent="0.35">
      <c r="A53" s="1"/>
      <c r="J53" s="155" t="s">
        <v>4</v>
      </c>
      <c r="K53" s="283">
        <f>+C17</f>
        <v>702</v>
      </c>
      <c r="L53" s="283">
        <f>+E17</f>
        <v>780</v>
      </c>
      <c r="M53" s="283">
        <f>+F17</f>
        <v>790.7</v>
      </c>
      <c r="N53" s="283">
        <f>+H17</f>
        <v>1050.0000000000002</v>
      </c>
      <c r="P53" s="294">
        <f t="shared" si="1"/>
        <v>21.9375</v>
      </c>
      <c r="Q53" s="294">
        <f t="shared" si="1"/>
        <v>24.375</v>
      </c>
      <c r="R53" s="294">
        <f t="shared" si="1"/>
        <v>24.709375000000001</v>
      </c>
      <c r="S53" s="294">
        <f t="shared" si="1"/>
        <v>32.812500000000007</v>
      </c>
    </row>
    <row r="54" spans="1:19" s="9" customFormat="1" x14ac:dyDescent="0.35">
      <c r="A54" s="1"/>
      <c r="J54" s="291" t="s">
        <v>233</v>
      </c>
      <c r="K54" s="283">
        <f>+C21+C22</f>
        <v>1279.27</v>
      </c>
      <c r="L54" s="283">
        <f>+E21+E22</f>
        <v>1350</v>
      </c>
      <c r="M54" s="283">
        <f>+F21+F22</f>
        <v>740.70999999999992</v>
      </c>
      <c r="N54" s="283">
        <f>+H21+H22</f>
        <v>1170</v>
      </c>
      <c r="P54" s="294">
        <f t="shared" si="1"/>
        <v>39.977187499999999</v>
      </c>
      <c r="Q54" s="294">
        <f t="shared" si="1"/>
        <v>42.1875</v>
      </c>
      <c r="R54" s="294">
        <f t="shared" si="1"/>
        <v>23.147187499999998</v>
      </c>
      <c r="S54" s="294">
        <f t="shared" si="1"/>
        <v>36.5625</v>
      </c>
    </row>
    <row r="55" spans="1:19" s="9" customFormat="1" ht="17" x14ac:dyDescent="0.5">
      <c r="A55" s="1"/>
      <c r="J55" s="155" t="s">
        <v>82</v>
      </c>
      <c r="K55" s="284">
        <f>+C19+C24+C25+C26</f>
        <v>302.3</v>
      </c>
      <c r="L55" s="284">
        <f>+E19+E24+E25+E26</f>
        <v>375</v>
      </c>
      <c r="M55" s="284">
        <f>+F19+F24+F25+F26</f>
        <v>583.17999999999995</v>
      </c>
      <c r="N55" s="284">
        <f>+H19+H24+H25+H26</f>
        <v>820</v>
      </c>
      <c r="P55" s="295">
        <f t="shared" si="1"/>
        <v>9.4468750000000004</v>
      </c>
      <c r="Q55" s="295">
        <f t="shared" si="1"/>
        <v>11.71875</v>
      </c>
      <c r="R55" s="295">
        <f t="shared" si="1"/>
        <v>18.224374999999998</v>
      </c>
      <c r="S55" s="295">
        <f t="shared" si="1"/>
        <v>25.625</v>
      </c>
    </row>
    <row r="56" spans="1:19" s="9" customFormat="1" x14ac:dyDescent="0.35">
      <c r="A56" s="1"/>
      <c r="J56" s="155"/>
      <c r="K56" s="283">
        <f>SUM(K50:K55)</f>
        <v>10286.029999999999</v>
      </c>
      <c r="L56" s="283">
        <f>SUM(L50:L55)</f>
        <v>17955</v>
      </c>
      <c r="M56" s="283">
        <f>SUM(M50:M55)</f>
        <v>19489.16</v>
      </c>
      <c r="N56" s="283">
        <f>SUM(N50:N55)</f>
        <v>13760</v>
      </c>
      <c r="P56" s="294">
        <f t="shared" si="1"/>
        <v>321.43843749999996</v>
      </c>
      <c r="Q56" s="294">
        <f t="shared" si="1"/>
        <v>561.09375</v>
      </c>
      <c r="R56" s="294">
        <f t="shared" si="1"/>
        <v>609.03625</v>
      </c>
      <c r="S56" s="294">
        <f t="shared" si="1"/>
        <v>430</v>
      </c>
    </row>
    <row r="57" spans="1:19" s="9" customFormat="1" x14ac:dyDescent="0.35">
      <c r="A57" s="1"/>
      <c r="J57" s="155"/>
      <c r="K57" s="283"/>
      <c r="L57" s="293"/>
      <c r="M57" s="293"/>
      <c r="N57" s="293"/>
      <c r="O57" s="291" t="s">
        <v>267</v>
      </c>
      <c r="P57" s="312">
        <v>375</v>
      </c>
      <c r="Q57" s="312">
        <v>375</v>
      </c>
      <c r="R57" s="312">
        <v>375</v>
      </c>
      <c r="S57" s="312">
        <v>430</v>
      </c>
    </row>
    <row r="58" spans="1:19" s="9" customFormat="1" x14ac:dyDescent="0.35">
      <c r="A58" s="1"/>
      <c r="J58" s="155" t="s">
        <v>50</v>
      </c>
      <c r="K58" s="283">
        <f>+C29</f>
        <v>23374.07</v>
      </c>
      <c r="L58" s="283">
        <f>+E29</f>
        <v>17415.07</v>
      </c>
      <c r="M58" s="283">
        <f>+F29</f>
        <v>17009.909999999996</v>
      </c>
      <c r="N58" s="283">
        <f>+H29</f>
        <v>17009.909999999996</v>
      </c>
    </row>
    <row r="59" spans="1:19" s="9" customFormat="1" x14ac:dyDescent="0.35">
      <c r="A59" s="1"/>
      <c r="B59" s="1"/>
      <c r="C59" s="1"/>
      <c r="D59" s="1"/>
      <c r="E59" s="2"/>
    </row>
    <row r="60" spans="1:19" s="9" customFormat="1" x14ac:dyDescent="0.35">
      <c r="A60" s="1"/>
      <c r="B60" s="1"/>
      <c r="C60" s="1"/>
      <c r="D60" s="1"/>
      <c r="E60" s="2"/>
    </row>
    <row r="61" spans="1:19" s="9" customFormat="1" x14ac:dyDescent="0.35">
      <c r="A61" s="1"/>
      <c r="B61" s="1"/>
      <c r="C61" s="1"/>
      <c r="D61" s="1"/>
      <c r="E61" s="2"/>
    </row>
    <row r="62" spans="1:19" s="9" customFormat="1" x14ac:dyDescent="0.35">
      <c r="A62" s="1"/>
      <c r="B62" s="1"/>
      <c r="C62" s="1"/>
      <c r="D62" s="1"/>
      <c r="E62" s="2"/>
    </row>
    <row r="63" spans="1:19" s="9" customFormat="1" x14ac:dyDescent="0.35">
      <c r="A63" s="1"/>
      <c r="B63" s="1"/>
      <c r="C63" s="1"/>
      <c r="D63" s="1"/>
      <c r="E63" s="2"/>
    </row>
    <row r="64" spans="1:19" s="9" customFormat="1" x14ac:dyDescent="0.35">
      <c r="A64" s="1"/>
      <c r="B64" s="1"/>
      <c r="C64" s="1"/>
      <c r="D64" s="1"/>
      <c r="E64" s="2"/>
    </row>
    <row r="65" spans="1:5" s="9" customFormat="1" x14ac:dyDescent="0.35">
      <c r="A65" s="1"/>
      <c r="B65" s="1"/>
      <c r="C65" s="1"/>
      <c r="D65" s="1"/>
      <c r="E65" s="2"/>
    </row>
    <row r="66" spans="1:5" s="9" customFormat="1" x14ac:dyDescent="0.35">
      <c r="A66" s="1"/>
      <c r="B66" s="1"/>
      <c r="C66" s="1"/>
      <c r="D66" s="1"/>
      <c r="E66" s="2"/>
    </row>
    <row r="67" spans="1:5" s="9" customFormat="1" x14ac:dyDescent="0.35">
      <c r="A67" s="1"/>
      <c r="B67" s="1"/>
      <c r="C67" s="1"/>
      <c r="D67" s="1"/>
      <c r="E67" s="2"/>
    </row>
    <row r="68" spans="1:5" s="9" customFormat="1" x14ac:dyDescent="0.35">
      <c r="A68" s="1"/>
      <c r="B68" s="1"/>
      <c r="C68" s="1"/>
      <c r="D68" s="1"/>
      <c r="E68" s="2"/>
    </row>
    <row r="69" spans="1:5" s="9" customFormat="1" x14ac:dyDescent="0.35">
      <c r="A69" s="1"/>
      <c r="B69" s="1"/>
      <c r="C69" s="1"/>
      <c r="D69" s="1"/>
      <c r="E69" s="2"/>
    </row>
    <row r="70" spans="1:5" s="9" customFormat="1" x14ac:dyDescent="0.35">
      <c r="A70" s="1"/>
      <c r="B70" s="1"/>
      <c r="C70" s="1"/>
      <c r="D70" s="1"/>
      <c r="E70" s="2"/>
    </row>
    <row r="71" spans="1:5" s="9" customFormat="1" x14ac:dyDescent="0.35">
      <c r="A71" s="1"/>
      <c r="B71" s="1"/>
      <c r="C71" s="1"/>
      <c r="D71" s="1"/>
      <c r="E71" s="2"/>
    </row>
    <row r="72" spans="1:5" s="9" customFormat="1" x14ac:dyDescent="0.35">
      <c r="A72" s="1"/>
      <c r="B72" s="1"/>
      <c r="C72" s="1"/>
      <c r="D72" s="1"/>
      <c r="E72" s="2"/>
    </row>
    <row r="73" spans="1:5" s="9" customFormat="1" x14ac:dyDescent="0.35">
      <c r="A73" s="1"/>
      <c r="B73" s="1"/>
      <c r="C73" s="1"/>
      <c r="D73" s="1"/>
      <c r="E73" s="2"/>
    </row>
    <row r="74" spans="1:5" s="9" customFormat="1" x14ac:dyDescent="0.35">
      <c r="A74" s="1"/>
      <c r="B74" s="1"/>
      <c r="C74" s="1"/>
      <c r="D74" s="1"/>
      <c r="E74" s="2"/>
    </row>
    <row r="75" spans="1:5" s="9" customFormat="1" x14ac:dyDescent="0.35">
      <c r="A75" s="1"/>
      <c r="B75" s="1"/>
      <c r="C75" s="1"/>
      <c r="D75" s="1"/>
      <c r="E75" s="2"/>
    </row>
    <row r="76" spans="1:5" s="9" customFormat="1" x14ac:dyDescent="0.35">
      <c r="A76" s="1"/>
      <c r="B76" s="1"/>
      <c r="C76" s="1"/>
      <c r="D76" s="1"/>
      <c r="E76" s="2"/>
    </row>
    <row r="77" spans="1:5" s="9" customFormat="1" x14ac:dyDescent="0.35">
      <c r="A77" s="1"/>
      <c r="B77" s="1"/>
      <c r="C77" s="1"/>
      <c r="D77" s="1"/>
      <c r="E77" s="2"/>
    </row>
    <row r="78" spans="1:5" s="9" customFormat="1" x14ac:dyDescent="0.35">
      <c r="A78" s="1"/>
      <c r="B78" s="1"/>
      <c r="C78" s="1"/>
      <c r="D78" s="1"/>
      <c r="E78" s="2"/>
    </row>
    <row r="79" spans="1:5" s="9" customFormat="1" x14ac:dyDescent="0.35">
      <c r="A79" s="1"/>
      <c r="B79" s="1"/>
      <c r="C79" s="1"/>
      <c r="D79" s="1"/>
      <c r="E79" s="2"/>
    </row>
    <row r="80" spans="1:5" s="9" customFormat="1" x14ac:dyDescent="0.35">
      <c r="A80" s="1"/>
      <c r="B80" s="1"/>
      <c r="C80" s="1"/>
      <c r="D80" s="1"/>
      <c r="E80" s="2"/>
    </row>
    <row r="81" spans="1:5" s="9" customFormat="1" x14ac:dyDescent="0.35">
      <c r="A81" s="1"/>
      <c r="B81" s="1"/>
      <c r="C81" s="1"/>
      <c r="D81" s="1"/>
      <c r="E81" s="2"/>
    </row>
    <row r="82" spans="1:5" s="9" customFormat="1" x14ac:dyDescent="0.35">
      <c r="A82" s="1"/>
      <c r="B82" s="1"/>
      <c r="C82" s="1"/>
      <c r="D82" s="1"/>
      <c r="E82" s="2"/>
    </row>
    <row r="83" spans="1:5" s="9" customFormat="1" x14ac:dyDescent="0.35">
      <c r="A83" s="1"/>
      <c r="B83" s="1"/>
      <c r="C83" s="1"/>
      <c r="D83" s="1"/>
      <c r="E83" s="2"/>
    </row>
    <row r="84" spans="1:5" s="9" customFormat="1" x14ac:dyDescent="0.35">
      <c r="A84" s="1"/>
      <c r="B84" s="1"/>
      <c r="C84" s="1"/>
      <c r="D84" s="1"/>
      <c r="E84" s="2"/>
    </row>
    <row r="85" spans="1:5" s="9" customFormat="1" x14ac:dyDescent="0.35">
      <c r="A85" s="1"/>
      <c r="B85" s="1"/>
      <c r="C85" s="1"/>
      <c r="D85" s="1"/>
      <c r="E85" s="2"/>
    </row>
    <row r="86" spans="1:5" s="9" customFormat="1" x14ac:dyDescent="0.35">
      <c r="A86" s="1"/>
      <c r="B86" s="1"/>
      <c r="C86" s="1"/>
      <c r="D86" s="1"/>
      <c r="E86" s="2"/>
    </row>
    <row r="87" spans="1:5" s="9" customFormat="1" x14ac:dyDescent="0.35">
      <c r="A87" s="1"/>
      <c r="B87" s="1"/>
      <c r="C87" s="1"/>
      <c r="D87" s="1"/>
      <c r="E87" s="2"/>
    </row>
    <row r="88" spans="1:5" s="9" customFormat="1" x14ac:dyDescent="0.35">
      <c r="A88" s="1"/>
      <c r="B88" s="1"/>
      <c r="C88" s="1"/>
      <c r="D88" s="1"/>
      <c r="E88" s="2"/>
    </row>
    <row r="89" spans="1:5" s="9" customFormat="1" x14ac:dyDescent="0.35">
      <c r="A89" s="1"/>
      <c r="B89" s="1"/>
      <c r="C89" s="1"/>
      <c r="D89" s="1"/>
      <c r="E89" s="2"/>
    </row>
    <row r="90" spans="1:5" s="9" customFormat="1" x14ac:dyDescent="0.35">
      <c r="A90" s="1"/>
      <c r="B90" s="1"/>
      <c r="C90" s="1"/>
      <c r="D90" s="1"/>
      <c r="E90" s="2"/>
    </row>
    <row r="91" spans="1:5" s="9" customFormat="1" x14ac:dyDescent="0.35">
      <c r="A91" s="1"/>
      <c r="B91" s="1"/>
      <c r="C91" s="1"/>
      <c r="D91" s="1"/>
      <c r="E91" s="2"/>
    </row>
    <row r="92" spans="1:5" s="9" customFormat="1" x14ac:dyDescent="0.35">
      <c r="A92" s="1"/>
      <c r="B92" s="1"/>
      <c r="C92" s="1"/>
      <c r="D92" s="1"/>
      <c r="E92" s="2"/>
    </row>
    <row r="93" spans="1:5" s="9" customFormat="1" x14ac:dyDescent="0.35">
      <c r="A93" s="1"/>
      <c r="B93" s="1"/>
      <c r="C93" s="1"/>
      <c r="D93" s="1"/>
      <c r="E93" s="2"/>
    </row>
    <row r="94" spans="1:5" s="9" customFormat="1" x14ac:dyDescent="0.35">
      <c r="A94" s="1"/>
      <c r="B94" s="1"/>
      <c r="C94" s="1"/>
      <c r="D94" s="1"/>
      <c r="E94" s="2"/>
    </row>
    <row r="95" spans="1:5" s="9" customFormat="1" x14ac:dyDescent="0.35">
      <c r="A95" s="1"/>
      <c r="B95" s="1"/>
      <c r="C95" s="1"/>
      <c r="D95" s="1"/>
      <c r="E95" s="2"/>
    </row>
    <row r="96" spans="1:5" s="9" customFormat="1" x14ac:dyDescent="0.35">
      <c r="A96" s="1"/>
      <c r="B96" s="1"/>
      <c r="C96" s="1"/>
      <c r="D96" s="1"/>
      <c r="E96" s="2"/>
    </row>
    <row r="97" spans="1:5" s="9" customFormat="1" x14ac:dyDescent="0.35">
      <c r="A97" s="1"/>
      <c r="B97" s="1"/>
      <c r="C97" s="1"/>
      <c r="D97" s="1"/>
      <c r="E97" s="2"/>
    </row>
    <row r="98" spans="1:5" s="9" customFormat="1" x14ac:dyDescent="0.35">
      <c r="A98" s="1"/>
      <c r="B98" s="1"/>
      <c r="C98" s="1"/>
      <c r="D98" s="1"/>
      <c r="E98" s="2"/>
    </row>
    <row r="99" spans="1:5" s="9" customFormat="1" x14ac:dyDescent="0.35">
      <c r="A99" s="1"/>
      <c r="B99" s="1"/>
      <c r="C99" s="1"/>
      <c r="D99" s="1"/>
      <c r="E99" s="2"/>
    </row>
    <row r="100" spans="1:5" s="9" customFormat="1" x14ac:dyDescent="0.35">
      <c r="A100" s="1"/>
      <c r="B100" s="1"/>
      <c r="C100" s="1"/>
      <c r="D100" s="1"/>
      <c r="E100" s="2"/>
    </row>
    <row r="101" spans="1:5" s="9" customFormat="1" x14ac:dyDescent="0.35">
      <c r="A101" s="1"/>
      <c r="B101" s="1"/>
      <c r="C101" s="1"/>
      <c r="D101" s="1"/>
      <c r="E101" s="2"/>
    </row>
    <row r="102" spans="1:5" s="9" customFormat="1" x14ac:dyDescent="0.35">
      <c r="A102" s="1"/>
      <c r="B102" s="1"/>
      <c r="C102" s="1"/>
      <c r="D102" s="1"/>
      <c r="E102" s="2"/>
    </row>
    <row r="103" spans="1:5" s="9" customFormat="1" x14ac:dyDescent="0.35">
      <c r="A103" s="1"/>
      <c r="B103" s="1"/>
      <c r="C103" s="1"/>
      <c r="D103" s="1"/>
      <c r="E103" s="2"/>
    </row>
    <row r="104" spans="1:5" s="9" customFormat="1" x14ac:dyDescent="0.35">
      <c r="A104" s="1"/>
      <c r="B104" s="1"/>
      <c r="C104" s="1"/>
      <c r="D104" s="1"/>
      <c r="E104" s="2"/>
    </row>
    <row r="105" spans="1:5" s="9" customFormat="1" x14ac:dyDescent="0.35">
      <c r="A105" s="1"/>
      <c r="B105" s="1"/>
      <c r="C105" s="1"/>
      <c r="D105" s="1"/>
      <c r="E105" s="2"/>
    </row>
    <row r="106" spans="1:5" s="9" customFormat="1" x14ac:dyDescent="0.35">
      <c r="A106" s="1"/>
      <c r="B106" s="1"/>
      <c r="C106" s="1"/>
      <c r="D106" s="1"/>
      <c r="E106" s="2"/>
    </row>
    <row r="107" spans="1:5" s="9" customFormat="1" x14ac:dyDescent="0.35">
      <c r="A107" s="1"/>
      <c r="B107" s="1"/>
      <c r="C107" s="1"/>
      <c r="D107" s="1"/>
      <c r="E107" s="2"/>
    </row>
    <row r="108" spans="1:5" s="9" customFormat="1" x14ac:dyDescent="0.35">
      <c r="A108" s="1"/>
      <c r="B108" s="1"/>
      <c r="C108" s="1"/>
      <c r="D108" s="1"/>
      <c r="E108" s="2"/>
    </row>
    <row r="109" spans="1:5" s="9" customFormat="1" x14ac:dyDescent="0.35">
      <c r="A109" s="1"/>
      <c r="B109" s="1"/>
      <c r="C109" s="1"/>
      <c r="D109" s="1"/>
      <c r="E109" s="2"/>
    </row>
    <row r="110" spans="1:5" s="9" customFormat="1" x14ac:dyDescent="0.35">
      <c r="A110" s="1"/>
      <c r="B110" s="1"/>
      <c r="C110" s="1"/>
      <c r="D110" s="1"/>
      <c r="E110" s="2"/>
    </row>
    <row r="111" spans="1:5" s="9" customFormat="1" x14ac:dyDescent="0.35">
      <c r="A111" s="1"/>
      <c r="B111" s="1"/>
      <c r="C111" s="1"/>
      <c r="D111" s="1"/>
      <c r="E111" s="2"/>
    </row>
    <row r="112" spans="1:5" s="9" customFormat="1" x14ac:dyDescent="0.35">
      <c r="A112" s="1"/>
      <c r="B112" s="1"/>
      <c r="C112" s="1"/>
      <c r="D112" s="1"/>
      <c r="E112" s="2"/>
    </row>
    <row r="113" spans="1:5" s="9" customFormat="1" x14ac:dyDescent="0.35">
      <c r="A113" s="1"/>
      <c r="B113" s="1"/>
      <c r="C113" s="1"/>
      <c r="D113" s="1"/>
      <c r="E113" s="2"/>
    </row>
    <row r="114" spans="1:5" s="9" customFormat="1" x14ac:dyDescent="0.35">
      <c r="A114" s="1"/>
      <c r="B114" s="1"/>
      <c r="C114" s="1"/>
      <c r="D114" s="1"/>
      <c r="E114" s="2"/>
    </row>
    <row r="115" spans="1:5" s="9" customFormat="1" x14ac:dyDescent="0.35">
      <c r="A115" s="1"/>
      <c r="B115" s="1"/>
      <c r="C115" s="1"/>
      <c r="D115" s="1"/>
      <c r="E115" s="2"/>
    </row>
    <row r="116" spans="1:5" s="9" customFormat="1" x14ac:dyDescent="0.35">
      <c r="A116" s="1"/>
      <c r="B116" s="1"/>
      <c r="C116" s="1"/>
      <c r="D116" s="1"/>
      <c r="E116" s="2"/>
    </row>
    <row r="117" spans="1:5" s="9" customFormat="1" x14ac:dyDescent="0.35">
      <c r="A117" s="1"/>
      <c r="B117" s="1"/>
      <c r="C117" s="1"/>
      <c r="D117" s="1"/>
      <c r="E117" s="2"/>
    </row>
    <row r="118" spans="1:5" s="9" customFormat="1" x14ac:dyDescent="0.35">
      <c r="A118" s="1"/>
      <c r="B118" s="1"/>
      <c r="C118" s="1"/>
      <c r="D118" s="1"/>
      <c r="E118" s="2"/>
    </row>
    <row r="119" spans="1:5" s="9" customFormat="1" x14ac:dyDescent="0.35">
      <c r="A119" s="1"/>
      <c r="B119" s="1"/>
      <c r="C119" s="1"/>
      <c r="D119" s="1"/>
      <c r="E119" s="2"/>
    </row>
    <row r="120" spans="1:5" s="9" customFormat="1" x14ac:dyDescent="0.35">
      <c r="A120" s="1"/>
      <c r="B120" s="1"/>
      <c r="C120" s="1"/>
      <c r="D120" s="1"/>
      <c r="E120" s="2"/>
    </row>
    <row r="121" spans="1:5" s="9" customFormat="1" x14ac:dyDescent="0.35">
      <c r="A121" s="1"/>
      <c r="B121" s="1"/>
      <c r="C121" s="1"/>
      <c r="D121" s="1"/>
      <c r="E121" s="2"/>
    </row>
    <row r="122" spans="1:5" s="9" customFormat="1" x14ac:dyDescent="0.35">
      <c r="A122" s="1"/>
      <c r="B122" s="1"/>
      <c r="C122" s="1"/>
      <c r="D122" s="1"/>
      <c r="E122" s="2"/>
    </row>
    <row r="123" spans="1:5" s="9" customFormat="1" x14ac:dyDescent="0.35">
      <c r="A123" s="1"/>
      <c r="B123" s="1"/>
      <c r="C123" s="1"/>
      <c r="D123" s="1"/>
      <c r="E123" s="2"/>
    </row>
    <row r="124" spans="1:5" s="9" customFormat="1" x14ac:dyDescent="0.35">
      <c r="A124" s="1"/>
      <c r="B124" s="1"/>
      <c r="C124" s="1"/>
      <c r="D124" s="1"/>
      <c r="E124" s="2"/>
    </row>
    <row r="125" spans="1:5" s="9" customFormat="1" x14ac:dyDescent="0.35">
      <c r="A125" s="1"/>
      <c r="B125" s="1"/>
      <c r="C125" s="1"/>
      <c r="D125" s="1"/>
      <c r="E125" s="2"/>
    </row>
    <row r="126" spans="1:5" s="9" customFormat="1" x14ac:dyDescent="0.35">
      <c r="A126" s="1"/>
      <c r="B126" s="1"/>
      <c r="C126" s="1"/>
      <c r="D126" s="1"/>
      <c r="E126" s="2"/>
    </row>
    <row r="127" spans="1:5" s="9" customFormat="1" x14ac:dyDescent="0.35">
      <c r="A127" s="1"/>
      <c r="B127" s="1"/>
      <c r="C127" s="1"/>
      <c r="D127" s="1"/>
      <c r="E127" s="2"/>
    </row>
    <row r="128" spans="1:5" s="9" customFormat="1" x14ac:dyDescent="0.35">
      <c r="A128" s="1"/>
      <c r="B128" s="1"/>
      <c r="C128" s="1"/>
      <c r="D128" s="1"/>
      <c r="E128" s="2"/>
    </row>
    <row r="129" spans="1:5" s="9" customFormat="1" x14ac:dyDescent="0.35">
      <c r="A129" s="1"/>
      <c r="B129" s="1"/>
      <c r="C129" s="1"/>
      <c r="D129" s="1"/>
      <c r="E129" s="2"/>
    </row>
    <row r="130" spans="1:5" s="9" customFormat="1" x14ac:dyDescent="0.35">
      <c r="A130" s="1"/>
      <c r="B130" s="1"/>
      <c r="C130" s="1"/>
      <c r="D130" s="1"/>
      <c r="E130" s="2"/>
    </row>
    <row r="131" spans="1:5" s="9" customFormat="1" x14ac:dyDescent="0.35">
      <c r="A131" s="1"/>
      <c r="B131" s="1"/>
      <c r="C131" s="1"/>
      <c r="D131" s="1"/>
      <c r="E131" s="2"/>
    </row>
    <row r="132" spans="1:5" s="9" customFormat="1" x14ac:dyDescent="0.35">
      <c r="A132" s="1"/>
      <c r="B132" s="1"/>
      <c r="C132" s="1"/>
      <c r="D132" s="1"/>
      <c r="E132" s="2"/>
    </row>
    <row r="133" spans="1:5" s="9" customFormat="1" x14ac:dyDescent="0.35">
      <c r="A133" s="1"/>
      <c r="B133" s="1"/>
      <c r="C133" s="1"/>
      <c r="D133" s="1"/>
      <c r="E133" s="2"/>
    </row>
    <row r="134" spans="1:5" s="9" customFormat="1" x14ac:dyDescent="0.35">
      <c r="A134" s="1"/>
      <c r="B134" s="1"/>
      <c r="C134" s="1"/>
      <c r="D134" s="1"/>
      <c r="E134" s="2"/>
    </row>
    <row r="135" spans="1:5" s="9" customFormat="1" x14ac:dyDescent="0.35">
      <c r="A135" s="1"/>
      <c r="B135" s="1"/>
      <c r="C135" s="1"/>
      <c r="D135" s="1"/>
      <c r="E135" s="2"/>
    </row>
    <row r="136" spans="1:5" s="9" customFormat="1" x14ac:dyDescent="0.35">
      <c r="A136" s="1"/>
      <c r="B136" s="1"/>
      <c r="C136" s="1"/>
      <c r="D136" s="1"/>
      <c r="E136" s="2"/>
    </row>
    <row r="137" spans="1:5" s="9" customFormat="1" x14ac:dyDescent="0.35">
      <c r="A137" s="1"/>
      <c r="B137" s="1"/>
      <c r="C137" s="1"/>
      <c r="D137" s="1"/>
      <c r="E137" s="2"/>
    </row>
    <row r="138" spans="1:5" s="9" customFormat="1" x14ac:dyDescent="0.35">
      <c r="A138" s="1"/>
      <c r="B138" s="1"/>
      <c r="C138" s="1"/>
      <c r="D138" s="1"/>
      <c r="E138" s="2"/>
    </row>
    <row r="139" spans="1:5" s="9" customFormat="1" x14ac:dyDescent="0.35">
      <c r="A139" s="1"/>
      <c r="B139" s="1"/>
      <c r="C139" s="1"/>
      <c r="D139" s="1"/>
      <c r="E139" s="2"/>
    </row>
    <row r="140" spans="1:5" s="9" customFormat="1" x14ac:dyDescent="0.35">
      <c r="A140" s="1"/>
      <c r="B140" s="1"/>
      <c r="C140" s="1"/>
      <c r="D140" s="1"/>
      <c r="E140" s="2"/>
    </row>
    <row r="141" spans="1:5" s="9" customFormat="1" x14ac:dyDescent="0.35">
      <c r="A141" s="1"/>
      <c r="B141" s="1"/>
      <c r="C141" s="1"/>
      <c r="D141" s="1"/>
      <c r="E141" s="2"/>
    </row>
    <row r="142" spans="1:5" s="9" customFormat="1" x14ac:dyDescent="0.35">
      <c r="A142" s="1"/>
      <c r="B142" s="1"/>
      <c r="C142" s="1"/>
      <c r="D142" s="1"/>
      <c r="E142" s="2"/>
    </row>
    <row r="143" spans="1:5" s="9" customFormat="1" x14ac:dyDescent="0.35">
      <c r="A143" s="1"/>
      <c r="B143" s="1"/>
      <c r="C143" s="1"/>
      <c r="D143" s="1"/>
      <c r="E143" s="2"/>
    </row>
    <row r="144" spans="1:5" s="9" customFormat="1" x14ac:dyDescent="0.35">
      <c r="A144" s="1"/>
      <c r="B144" s="1"/>
      <c r="C144" s="1"/>
      <c r="D144" s="1"/>
      <c r="E144" s="2"/>
    </row>
    <row r="145" spans="1:5" s="9" customFormat="1" x14ac:dyDescent="0.35">
      <c r="A145" s="1"/>
      <c r="B145" s="1"/>
      <c r="C145" s="1"/>
      <c r="D145" s="1"/>
      <c r="E145" s="2"/>
    </row>
    <row r="146" spans="1:5" s="9" customFormat="1" x14ac:dyDescent="0.35">
      <c r="A146" s="1"/>
      <c r="B146" s="1"/>
      <c r="C146" s="1"/>
      <c r="D146" s="1"/>
      <c r="E146" s="2"/>
    </row>
    <row r="147" spans="1:5" s="9" customFormat="1" x14ac:dyDescent="0.35">
      <c r="A147" s="1"/>
      <c r="B147" s="1"/>
      <c r="C147" s="1"/>
      <c r="D147" s="1"/>
      <c r="E147" s="2"/>
    </row>
    <row r="148" spans="1:5" s="9" customFormat="1" x14ac:dyDescent="0.35">
      <c r="A148" s="1"/>
      <c r="B148" s="1"/>
      <c r="C148" s="1"/>
      <c r="D148" s="1"/>
      <c r="E148" s="2"/>
    </row>
    <row r="149" spans="1:5" s="9" customFormat="1" x14ac:dyDescent="0.35">
      <c r="A149" s="1"/>
      <c r="B149" s="1"/>
      <c r="C149" s="1"/>
      <c r="D149" s="1"/>
      <c r="E149" s="2"/>
    </row>
    <row r="150" spans="1:5" s="9" customFormat="1" x14ac:dyDescent="0.35">
      <c r="A150" s="1"/>
      <c r="B150" s="1"/>
      <c r="C150" s="1"/>
      <c r="D150" s="1"/>
      <c r="E150" s="2"/>
    </row>
    <row r="151" spans="1:5" s="9" customFormat="1" x14ac:dyDescent="0.35">
      <c r="A151" s="1"/>
      <c r="B151" s="1"/>
      <c r="C151" s="1"/>
      <c r="D151" s="1"/>
      <c r="E151" s="2"/>
    </row>
    <row r="152" spans="1:5" s="9" customFormat="1" x14ac:dyDescent="0.35">
      <c r="A152" s="1"/>
      <c r="B152" s="1"/>
      <c r="C152" s="1"/>
      <c r="D152" s="1"/>
      <c r="E152" s="2"/>
    </row>
    <row r="153" spans="1:5" s="9" customFormat="1" x14ac:dyDescent="0.35">
      <c r="A153" s="1"/>
      <c r="B153" s="1"/>
      <c r="C153" s="1"/>
      <c r="D153" s="1"/>
      <c r="E153" s="2"/>
    </row>
    <row r="154" spans="1:5" s="9" customFormat="1" x14ac:dyDescent="0.35">
      <c r="A154" s="1"/>
      <c r="B154" s="1"/>
      <c r="C154" s="1"/>
      <c r="D154" s="1"/>
      <c r="E154" s="2"/>
    </row>
    <row r="155" spans="1:5" s="9" customFormat="1" x14ac:dyDescent="0.35">
      <c r="A155" s="1"/>
      <c r="B155" s="1"/>
      <c r="C155" s="1"/>
      <c r="D155" s="1"/>
      <c r="E155" s="2"/>
    </row>
    <row r="156" spans="1:5" s="9" customFormat="1" x14ac:dyDescent="0.35">
      <c r="A156" s="1"/>
      <c r="B156" s="1"/>
      <c r="C156" s="1"/>
      <c r="D156" s="1"/>
      <c r="E156" s="2"/>
    </row>
    <row r="157" spans="1:5" s="9" customFormat="1" x14ac:dyDescent="0.35">
      <c r="A157" s="1"/>
      <c r="B157" s="1"/>
      <c r="C157" s="1"/>
      <c r="D157" s="1"/>
      <c r="E157" s="2"/>
    </row>
    <row r="158" spans="1:5" s="9" customFormat="1" x14ac:dyDescent="0.35">
      <c r="A158" s="1"/>
      <c r="B158" s="1"/>
      <c r="C158" s="1"/>
      <c r="D158" s="1"/>
      <c r="E158" s="2"/>
    </row>
    <row r="159" spans="1:5" s="9" customFormat="1" x14ac:dyDescent="0.35">
      <c r="A159" s="1"/>
      <c r="B159" s="1"/>
      <c r="C159" s="1"/>
      <c r="D159" s="1"/>
      <c r="E159" s="2"/>
    </row>
    <row r="160" spans="1:5" s="9" customFormat="1" x14ac:dyDescent="0.35">
      <c r="A160" s="1"/>
      <c r="B160" s="1"/>
      <c r="C160" s="1"/>
      <c r="D160" s="1"/>
      <c r="E160" s="2"/>
    </row>
    <row r="161" spans="1:5" s="9" customFormat="1" x14ac:dyDescent="0.35">
      <c r="A161" s="1"/>
      <c r="B161" s="1"/>
      <c r="C161" s="1"/>
      <c r="D161" s="1"/>
      <c r="E161" s="2"/>
    </row>
    <row r="162" spans="1:5" s="9" customFormat="1" x14ac:dyDescent="0.35">
      <c r="A162" s="1"/>
      <c r="B162" s="1"/>
      <c r="C162" s="1"/>
      <c r="D162" s="1"/>
      <c r="E162" s="2"/>
    </row>
    <row r="163" spans="1:5" s="9" customFormat="1" x14ac:dyDescent="0.35">
      <c r="A163" s="1"/>
      <c r="B163" s="1"/>
      <c r="C163" s="1"/>
      <c r="D163" s="1"/>
      <c r="E163" s="2"/>
    </row>
    <row r="164" spans="1:5" s="9" customFormat="1" x14ac:dyDescent="0.35">
      <c r="A164" s="1"/>
      <c r="B164" s="1"/>
      <c r="C164" s="1"/>
      <c r="D164" s="1"/>
      <c r="E164" s="2"/>
    </row>
    <row r="165" spans="1:5" s="9" customFormat="1" x14ac:dyDescent="0.35">
      <c r="A165" s="1"/>
      <c r="B165" s="1"/>
      <c r="C165" s="1"/>
      <c r="D165" s="1"/>
      <c r="E165" s="2"/>
    </row>
    <row r="166" spans="1:5" s="9" customFormat="1" x14ac:dyDescent="0.35">
      <c r="A166" s="1"/>
      <c r="B166" s="1"/>
      <c r="C166" s="1"/>
      <c r="D166" s="1"/>
      <c r="E166" s="2"/>
    </row>
    <row r="167" spans="1:5" s="9" customFormat="1" x14ac:dyDescent="0.35">
      <c r="A167" s="1"/>
      <c r="B167" s="1"/>
      <c r="C167" s="1"/>
      <c r="D167" s="1"/>
      <c r="E167" s="2"/>
    </row>
    <row r="168" spans="1:5" s="9" customFormat="1" x14ac:dyDescent="0.35">
      <c r="A168" s="1"/>
      <c r="B168" s="1"/>
      <c r="C168" s="1"/>
      <c r="D168" s="1"/>
      <c r="E168" s="2"/>
    </row>
    <row r="169" spans="1:5" s="9" customFormat="1" x14ac:dyDescent="0.35">
      <c r="A169" s="1"/>
      <c r="B169" s="1"/>
      <c r="C169" s="1"/>
      <c r="D169" s="1"/>
      <c r="E169" s="2"/>
    </row>
    <row r="170" spans="1:5" s="9" customFormat="1" x14ac:dyDescent="0.35">
      <c r="A170" s="1"/>
      <c r="B170" s="1"/>
      <c r="C170" s="1"/>
      <c r="D170" s="1"/>
      <c r="E170" s="2"/>
    </row>
    <row r="171" spans="1:5" s="9" customFormat="1" x14ac:dyDescent="0.35">
      <c r="A171" s="1"/>
      <c r="B171" s="1"/>
      <c r="C171" s="1"/>
      <c r="D171" s="1"/>
      <c r="E171" s="2"/>
    </row>
    <row r="172" spans="1:5" s="9" customFormat="1" x14ac:dyDescent="0.35">
      <c r="A172" s="1"/>
      <c r="B172" s="1"/>
      <c r="C172" s="1"/>
      <c r="D172" s="1"/>
      <c r="E172" s="2"/>
    </row>
    <row r="173" spans="1:5" s="9" customFormat="1" x14ac:dyDescent="0.35">
      <c r="A173" s="1"/>
      <c r="B173" s="1"/>
      <c r="C173" s="1"/>
      <c r="D173" s="1"/>
      <c r="E173" s="2"/>
    </row>
    <row r="174" spans="1:5" s="9" customFormat="1" x14ac:dyDescent="0.35">
      <c r="A174" s="1"/>
      <c r="B174" s="1"/>
      <c r="C174" s="1"/>
      <c r="D174" s="1"/>
      <c r="E174" s="2"/>
    </row>
    <row r="175" spans="1:5" s="9" customFormat="1" x14ac:dyDescent="0.35">
      <c r="A175" s="1"/>
      <c r="B175" s="1"/>
      <c r="C175" s="1"/>
      <c r="D175" s="1"/>
      <c r="E175" s="2"/>
    </row>
    <row r="176" spans="1:5" s="9" customFormat="1" x14ac:dyDescent="0.35">
      <c r="A176" s="1"/>
      <c r="B176" s="1"/>
      <c r="C176" s="1"/>
      <c r="D176" s="1"/>
      <c r="E176" s="2"/>
    </row>
    <row r="177" spans="1:5" s="9" customFormat="1" x14ac:dyDescent="0.35">
      <c r="A177" s="1"/>
      <c r="B177" s="1"/>
      <c r="C177" s="1"/>
      <c r="D177" s="1"/>
      <c r="E177" s="2"/>
    </row>
    <row r="178" spans="1:5" s="9" customFormat="1" x14ac:dyDescent="0.35">
      <c r="A178" s="1"/>
      <c r="B178" s="1"/>
      <c r="C178" s="1"/>
      <c r="D178" s="1"/>
      <c r="E178" s="2"/>
    </row>
    <row r="179" spans="1:5" s="9" customFormat="1" x14ac:dyDescent="0.35">
      <c r="A179" s="1"/>
      <c r="B179" s="1"/>
      <c r="C179" s="1"/>
      <c r="D179" s="1"/>
      <c r="E179" s="2"/>
    </row>
    <row r="180" spans="1:5" s="9" customFormat="1" x14ac:dyDescent="0.35">
      <c r="A180" s="1"/>
      <c r="B180" s="1"/>
      <c r="C180" s="1"/>
      <c r="D180" s="1"/>
      <c r="E180" s="2"/>
    </row>
    <row r="181" spans="1:5" s="9" customFormat="1" x14ac:dyDescent="0.35">
      <c r="A181" s="1"/>
      <c r="B181" s="1"/>
      <c r="C181" s="1"/>
      <c r="D181" s="1"/>
      <c r="E181" s="2"/>
    </row>
    <row r="182" spans="1:5" s="9" customFormat="1" x14ac:dyDescent="0.35">
      <c r="A182" s="1"/>
      <c r="B182" s="1"/>
      <c r="C182" s="1"/>
      <c r="D182" s="1"/>
      <c r="E182" s="2"/>
    </row>
    <row r="183" spans="1:5" s="9" customFormat="1" x14ac:dyDescent="0.35">
      <c r="A183" s="1"/>
      <c r="B183" s="1"/>
      <c r="C183" s="1"/>
      <c r="D183" s="1"/>
      <c r="E183" s="2"/>
    </row>
    <row r="184" spans="1:5" s="9" customFormat="1" x14ac:dyDescent="0.35">
      <c r="A184" s="1"/>
      <c r="B184" s="1"/>
      <c r="C184" s="1"/>
      <c r="D184" s="1"/>
      <c r="E184" s="2"/>
    </row>
    <row r="185" spans="1:5" s="9" customFormat="1" x14ac:dyDescent="0.35">
      <c r="A185" s="1"/>
      <c r="B185" s="1"/>
      <c r="C185" s="1"/>
      <c r="D185" s="1"/>
      <c r="E185" s="2"/>
    </row>
    <row r="186" spans="1:5" s="9" customFormat="1" x14ac:dyDescent="0.35">
      <c r="A186" s="1"/>
      <c r="B186" s="1"/>
      <c r="C186" s="1"/>
      <c r="D186" s="1"/>
      <c r="E186" s="2"/>
    </row>
    <row r="187" spans="1:5" s="9" customFormat="1" x14ac:dyDescent="0.35">
      <c r="A187" s="1"/>
      <c r="B187" s="1"/>
      <c r="C187" s="1"/>
      <c r="D187" s="1"/>
      <c r="E187" s="2"/>
    </row>
    <row r="188" spans="1:5" s="9" customFormat="1" x14ac:dyDescent="0.35">
      <c r="A188" s="1"/>
      <c r="B188" s="1"/>
      <c r="C188" s="1"/>
      <c r="D188" s="1"/>
      <c r="E188" s="2"/>
    </row>
    <row r="189" spans="1:5" s="9" customFormat="1" x14ac:dyDescent="0.35">
      <c r="A189" s="1"/>
      <c r="B189" s="1"/>
      <c r="C189" s="1"/>
      <c r="D189" s="1"/>
      <c r="E189" s="2"/>
    </row>
    <row r="190" spans="1:5" s="9" customFormat="1" x14ac:dyDescent="0.35">
      <c r="A190" s="1"/>
      <c r="B190" s="1"/>
      <c r="C190" s="1"/>
      <c r="D190" s="1"/>
      <c r="E190" s="2"/>
    </row>
    <row r="191" spans="1:5" s="9" customFormat="1" x14ac:dyDescent="0.35">
      <c r="A191" s="1"/>
      <c r="B191" s="1"/>
      <c r="C191" s="1"/>
      <c r="D191" s="1"/>
      <c r="E191" s="2"/>
    </row>
    <row r="192" spans="1:5" s="9" customFormat="1" x14ac:dyDescent="0.35">
      <c r="A192" s="1"/>
      <c r="B192" s="1"/>
      <c r="C192" s="1"/>
      <c r="D192" s="1"/>
      <c r="E192" s="2"/>
    </row>
    <row r="193" spans="1:5" s="9" customFormat="1" x14ac:dyDescent="0.35">
      <c r="A193" s="1"/>
      <c r="B193" s="1"/>
      <c r="C193" s="1"/>
      <c r="D193" s="1"/>
      <c r="E193" s="2"/>
    </row>
    <row r="194" spans="1:5" s="9" customFormat="1" x14ac:dyDescent="0.35">
      <c r="A194" s="1"/>
      <c r="B194" s="1"/>
      <c r="C194" s="1"/>
      <c r="D194" s="1"/>
      <c r="E194" s="2"/>
    </row>
    <row r="195" spans="1:5" s="9" customFormat="1" x14ac:dyDescent="0.35">
      <c r="A195" s="1"/>
      <c r="B195" s="1"/>
      <c r="C195" s="1"/>
      <c r="D195" s="1"/>
      <c r="E195" s="2"/>
    </row>
    <row r="196" spans="1:5" s="9" customFormat="1" x14ac:dyDescent="0.35">
      <c r="A196" s="1"/>
      <c r="B196" s="1"/>
      <c r="C196" s="1"/>
      <c r="D196" s="1"/>
      <c r="E196" s="2"/>
    </row>
    <row r="197" spans="1:5" s="9" customFormat="1" x14ac:dyDescent="0.35">
      <c r="A197" s="1"/>
      <c r="B197" s="1"/>
      <c r="C197" s="1"/>
      <c r="D197" s="1"/>
      <c r="E197" s="2"/>
    </row>
    <row r="198" spans="1:5" s="9" customFormat="1" x14ac:dyDescent="0.35">
      <c r="A198" s="1"/>
      <c r="B198" s="1"/>
      <c r="C198" s="1"/>
      <c r="D198" s="1"/>
      <c r="E198" s="2"/>
    </row>
    <row r="199" spans="1:5" s="9" customFormat="1" x14ac:dyDescent="0.35">
      <c r="A199" s="1"/>
      <c r="B199" s="1"/>
      <c r="C199" s="1"/>
      <c r="D199" s="1"/>
      <c r="E199" s="2"/>
    </row>
    <row r="200" spans="1:5" s="9" customFormat="1" x14ac:dyDescent="0.35">
      <c r="A200" s="1"/>
      <c r="B200" s="1"/>
      <c r="C200" s="1"/>
      <c r="D200" s="1"/>
      <c r="E200" s="2"/>
    </row>
    <row r="201" spans="1:5" s="9" customFormat="1" x14ac:dyDescent="0.35">
      <c r="A201" s="1"/>
      <c r="B201" s="1"/>
      <c r="C201" s="1"/>
      <c r="D201" s="1"/>
      <c r="E201" s="2"/>
    </row>
    <row r="202" spans="1:5" s="9" customFormat="1" x14ac:dyDescent="0.35">
      <c r="A202" s="1"/>
      <c r="B202" s="1"/>
      <c r="C202" s="1"/>
      <c r="D202" s="1"/>
      <c r="E202" s="2"/>
    </row>
    <row r="203" spans="1:5" s="9" customFormat="1" x14ac:dyDescent="0.35">
      <c r="A203" s="1"/>
      <c r="B203" s="1"/>
      <c r="C203" s="1"/>
      <c r="D203" s="1"/>
      <c r="E203" s="2"/>
    </row>
    <row r="204" spans="1:5" s="9" customFormat="1" x14ac:dyDescent="0.35">
      <c r="A204" s="1"/>
      <c r="B204" s="1"/>
      <c r="C204" s="1"/>
      <c r="D204" s="1"/>
      <c r="E204" s="2"/>
    </row>
    <row r="205" spans="1:5" s="9" customFormat="1" x14ac:dyDescent="0.35">
      <c r="A205" s="1"/>
      <c r="B205" s="1"/>
      <c r="C205" s="1"/>
      <c r="D205" s="1"/>
      <c r="E205" s="2"/>
    </row>
    <row r="206" spans="1:5" s="9" customFormat="1" x14ac:dyDescent="0.35">
      <c r="A206" s="1"/>
      <c r="B206" s="1"/>
      <c r="C206" s="1"/>
      <c r="D206" s="1"/>
      <c r="E206" s="2"/>
    </row>
    <row r="207" spans="1:5" s="9" customFormat="1" x14ac:dyDescent="0.35">
      <c r="A207" s="1"/>
      <c r="B207" s="1"/>
      <c r="C207" s="1"/>
      <c r="D207" s="1"/>
      <c r="E207" s="2"/>
    </row>
    <row r="208" spans="1:5" s="9" customFormat="1" x14ac:dyDescent="0.35">
      <c r="A208" s="1"/>
      <c r="B208" s="1"/>
      <c r="C208" s="1"/>
      <c r="D208" s="1"/>
      <c r="E208" s="2"/>
    </row>
    <row r="209" spans="1:5" s="9" customFormat="1" x14ac:dyDescent="0.35">
      <c r="A209" s="1"/>
      <c r="B209" s="1"/>
      <c r="C209" s="1"/>
      <c r="D209" s="1"/>
      <c r="E209" s="2"/>
    </row>
    <row r="210" spans="1:5" s="9" customFormat="1" x14ac:dyDescent="0.35">
      <c r="A210" s="1"/>
      <c r="B210" s="1"/>
      <c r="C210" s="1"/>
      <c r="D210" s="1"/>
      <c r="E210" s="2"/>
    </row>
    <row r="211" spans="1:5" s="9" customFormat="1" x14ac:dyDescent="0.35">
      <c r="A211" s="1"/>
      <c r="B211" s="1"/>
      <c r="C211" s="1"/>
      <c r="D211" s="1"/>
      <c r="E211" s="2"/>
    </row>
    <row r="212" spans="1:5" s="9" customFormat="1" x14ac:dyDescent="0.35">
      <c r="A212" s="1"/>
      <c r="B212" s="1"/>
      <c r="C212" s="1"/>
      <c r="D212" s="1"/>
      <c r="E212" s="2"/>
    </row>
    <row r="213" spans="1:5" s="9" customFormat="1" x14ac:dyDescent="0.35">
      <c r="A213" s="1"/>
      <c r="B213" s="1"/>
      <c r="C213" s="1"/>
      <c r="D213" s="1"/>
      <c r="E213" s="2"/>
    </row>
    <row r="214" spans="1:5" s="9" customFormat="1" x14ac:dyDescent="0.35">
      <c r="A214" s="1"/>
      <c r="B214" s="1"/>
      <c r="C214" s="1"/>
      <c r="D214" s="1"/>
      <c r="E214" s="2"/>
    </row>
    <row r="215" spans="1:5" s="9" customFormat="1" x14ac:dyDescent="0.35">
      <c r="A215" s="1"/>
      <c r="B215" s="1"/>
      <c r="C215" s="1"/>
      <c r="D215" s="1"/>
      <c r="E215" s="2"/>
    </row>
    <row r="216" spans="1:5" s="9" customFormat="1" x14ac:dyDescent="0.35">
      <c r="A216" s="1"/>
      <c r="B216" s="1"/>
      <c r="C216" s="1"/>
      <c r="D216" s="1"/>
      <c r="E216" s="2"/>
    </row>
    <row r="217" spans="1:5" s="9" customFormat="1" x14ac:dyDescent="0.35">
      <c r="A217" s="1"/>
      <c r="B217" s="1"/>
      <c r="C217" s="1"/>
      <c r="D217" s="1"/>
      <c r="E217" s="2"/>
    </row>
    <row r="218" spans="1:5" s="9" customFormat="1" x14ac:dyDescent="0.35">
      <c r="A218" s="1"/>
      <c r="B218" s="1"/>
      <c r="C218" s="1"/>
      <c r="D218" s="1"/>
      <c r="E218" s="2"/>
    </row>
  </sheetData>
  <mergeCells count="5">
    <mergeCell ref="A38:H38"/>
    <mergeCell ref="A39:H41"/>
    <mergeCell ref="E1:F1"/>
    <mergeCell ref="A42:H42"/>
    <mergeCell ref="A36:H37"/>
  </mergeCells>
  <conditionalFormatting sqref="F4 C4:D4">
    <cfRule type="cellIs" dxfId="10" priority="2" operator="notEqual">
      <formula>0</formula>
    </cfRule>
  </conditionalFormatting>
  <pageMargins left="0.2" right="0.2" top="0.25" bottom="0.25" header="0.05" footer="0.05"/>
  <pageSetup paperSize="5" scale="85" orientation="landscape" r:id="rId1"/>
  <drawing r:id="rId2"/>
  <legacyDrawing r:id="rId3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7" tint="-0.249977111117893"/>
    <pageSetUpPr fitToPage="1"/>
  </sheetPr>
  <dimension ref="A1:P48"/>
  <sheetViews>
    <sheetView zoomScale="89" zoomScaleNormal="89" workbookViewId="0">
      <pane xSplit="2" ySplit="1" topLeftCell="D2" activePane="bottomRight" state="frozen"/>
      <selection pane="topRight" activeCell="C1" sqref="C1"/>
      <selection pane="bottomLeft" activeCell="A2" sqref="A2"/>
      <selection pane="bottomRight" activeCell="D33" sqref="D33:D38"/>
    </sheetView>
  </sheetViews>
  <sheetFormatPr defaultColWidth="8.6328125" defaultRowHeight="15.5" x14ac:dyDescent="0.35"/>
  <cols>
    <col min="1" max="1" width="14.6328125" style="1" customWidth="1"/>
    <col min="2" max="2" width="31.36328125" style="1" customWidth="1"/>
    <col min="3" max="4" width="12.54296875" style="1" customWidth="1"/>
    <col min="5" max="7" width="11.36328125" style="9" customWidth="1"/>
    <col min="8" max="16" width="11.36328125" style="1" customWidth="1"/>
    <col min="17" max="16384" width="8.6328125" style="1"/>
  </cols>
  <sheetData>
    <row r="1" spans="1:16" ht="31.5" customHeight="1" thickBot="1" x14ac:dyDescent="0.4">
      <c r="A1" s="525" t="s">
        <v>54</v>
      </c>
      <c r="B1" s="526"/>
      <c r="C1" s="343" t="s">
        <v>360</v>
      </c>
      <c r="D1" s="410">
        <v>2021</v>
      </c>
      <c r="E1" s="380" t="s">
        <v>31</v>
      </c>
      <c r="F1" s="204" t="s">
        <v>32</v>
      </c>
      <c r="G1" s="204" t="s">
        <v>33</v>
      </c>
      <c r="H1" s="15" t="s">
        <v>34</v>
      </c>
      <c r="I1" s="15" t="s">
        <v>35</v>
      </c>
      <c r="J1" s="15" t="s">
        <v>36</v>
      </c>
      <c r="K1" s="15" t="s">
        <v>37</v>
      </c>
      <c r="L1" s="15" t="s">
        <v>38</v>
      </c>
      <c r="M1" s="15" t="s">
        <v>39</v>
      </c>
      <c r="N1" s="15" t="s">
        <v>40</v>
      </c>
      <c r="O1" s="15" t="s">
        <v>51</v>
      </c>
      <c r="P1" s="15" t="s">
        <v>52</v>
      </c>
    </row>
    <row r="2" spans="1:16" x14ac:dyDescent="0.35">
      <c r="A2" s="37" t="s">
        <v>355</v>
      </c>
      <c r="B2" s="38"/>
      <c r="C2" s="344">
        <f>+'2020 ByMo'!D26</f>
        <v>17748.039999999997</v>
      </c>
      <c r="D2" s="371">
        <f>+C2</f>
        <v>17748.039999999997</v>
      </c>
      <c r="E2" s="381">
        <f>+C2</f>
        <v>17748.039999999997</v>
      </c>
      <c r="F2" s="272">
        <f>+E26</f>
        <v>17107.959999999995</v>
      </c>
      <c r="G2" s="272">
        <f t="shared" ref="G2:P2" si="0">+F26</f>
        <v>16467.879999999994</v>
      </c>
      <c r="H2" s="272">
        <f t="shared" si="0"/>
        <v>16377.799999999994</v>
      </c>
      <c r="I2" s="272">
        <f t="shared" si="0"/>
        <v>28087.719999999994</v>
      </c>
      <c r="J2" s="272">
        <f t="shared" si="0"/>
        <v>27185.639999999992</v>
      </c>
      <c r="K2" s="272">
        <f t="shared" si="0"/>
        <v>26773.299999999992</v>
      </c>
      <c r="L2" s="272">
        <f t="shared" si="0"/>
        <v>25539.679999999993</v>
      </c>
      <c r="M2" s="272">
        <f t="shared" si="0"/>
        <v>25034.339999999993</v>
      </c>
      <c r="N2" s="272">
        <f t="shared" si="0"/>
        <v>24944.259999999991</v>
      </c>
      <c r="O2" s="272">
        <f t="shared" si="0"/>
        <v>23754.179999999993</v>
      </c>
      <c r="P2" s="272">
        <f t="shared" si="0"/>
        <v>23114.099999999991</v>
      </c>
    </row>
    <row r="3" spans="1:16" x14ac:dyDescent="0.35">
      <c r="A3" s="3"/>
      <c r="B3" s="6"/>
      <c r="C3" s="32"/>
      <c r="D3" s="23"/>
      <c r="E3" s="355"/>
      <c r="F3" s="57"/>
      <c r="G3" s="57"/>
      <c r="H3" s="57"/>
      <c r="I3" s="27"/>
      <c r="J3" s="27"/>
      <c r="K3" s="27"/>
      <c r="L3" s="27"/>
      <c r="M3" s="27"/>
      <c r="N3" s="27"/>
      <c r="O3" s="27"/>
      <c r="P3" s="27"/>
    </row>
    <row r="4" spans="1:16" x14ac:dyDescent="0.35">
      <c r="A4" s="24" t="s">
        <v>44</v>
      </c>
      <c r="B4" s="210" t="s">
        <v>174</v>
      </c>
      <c r="C4" s="367">
        <v>32</v>
      </c>
      <c r="D4" s="369">
        <f>SUM(E4:P4)</f>
        <v>32</v>
      </c>
      <c r="E4" s="382">
        <v>0</v>
      </c>
      <c r="F4" s="362">
        <v>0</v>
      </c>
      <c r="G4" s="362">
        <v>0</v>
      </c>
      <c r="H4" s="362">
        <v>30</v>
      </c>
      <c r="I4" s="366">
        <v>0</v>
      </c>
      <c r="J4" s="366">
        <v>1</v>
      </c>
      <c r="K4" s="366">
        <v>0</v>
      </c>
      <c r="L4" s="366">
        <v>1</v>
      </c>
      <c r="M4" s="366">
        <v>0</v>
      </c>
      <c r="N4" s="366">
        <v>0</v>
      </c>
      <c r="O4" s="366">
        <v>0</v>
      </c>
      <c r="P4" s="366">
        <v>0</v>
      </c>
    </row>
    <row r="5" spans="1:16" x14ac:dyDescent="0.35">
      <c r="A5" s="1" t="s">
        <v>175</v>
      </c>
      <c r="B5" s="283">
        <v>430</v>
      </c>
      <c r="C5" s="33">
        <v>13760</v>
      </c>
      <c r="D5" s="309">
        <f>SUM(E5:P5)</f>
        <v>13760</v>
      </c>
      <c r="E5" s="354">
        <f>+E4*$B5</f>
        <v>0</v>
      </c>
      <c r="F5" s="56">
        <f t="shared" ref="F5:P5" si="1">+F4*$B5</f>
        <v>0</v>
      </c>
      <c r="G5" s="53">
        <f t="shared" si="1"/>
        <v>0</v>
      </c>
      <c r="H5" s="53">
        <f t="shared" si="1"/>
        <v>12900</v>
      </c>
      <c r="I5" s="53">
        <f t="shared" si="1"/>
        <v>0</v>
      </c>
      <c r="J5" s="53">
        <f t="shared" si="1"/>
        <v>430</v>
      </c>
      <c r="K5" s="53">
        <f t="shared" si="1"/>
        <v>0</v>
      </c>
      <c r="L5" s="53">
        <f t="shared" si="1"/>
        <v>430</v>
      </c>
      <c r="M5" s="53">
        <f t="shared" si="1"/>
        <v>0</v>
      </c>
      <c r="N5" s="53">
        <f t="shared" si="1"/>
        <v>0</v>
      </c>
      <c r="O5" s="53">
        <f t="shared" si="1"/>
        <v>0</v>
      </c>
      <c r="P5" s="53">
        <f t="shared" si="1"/>
        <v>0</v>
      </c>
    </row>
    <row r="6" spans="1:16" x14ac:dyDescent="0.35">
      <c r="A6" s="95" t="s">
        <v>49</v>
      </c>
      <c r="C6" s="54">
        <f>+C5</f>
        <v>13760</v>
      </c>
      <c r="D6" s="23">
        <f>SUM(E6:P6)</f>
        <v>13760</v>
      </c>
      <c r="E6" s="355">
        <f t="shared" ref="E6:P6" si="2">SUM(E5:E5)</f>
        <v>0</v>
      </c>
      <c r="F6" s="57">
        <f t="shared" si="2"/>
        <v>0</v>
      </c>
      <c r="G6" s="57">
        <f t="shared" si="2"/>
        <v>0</v>
      </c>
      <c r="H6" s="57">
        <f t="shared" si="2"/>
        <v>12900</v>
      </c>
      <c r="I6" s="57">
        <f t="shared" si="2"/>
        <v>0</v>
      </c>
      <c r="J6" s="57">
        <f t="shared" si="2"/>
        <v>430</v>
      </c>
      <c r="K6" s="57">
        <f t="shared" si="2"/>
        <v>0</v>
      </c>
      <c r="L6" s="57">
        <f t="shared" si="2"/>
        <v>430</v>
      </c>
      <c r="M6" s="57">
        <f t="shared" si="2"/>
        <v>0</v>
      </c>
      <c r="N6" s="57">
        <f t="shared" si="2"/>
        <v>0</v>
      </c>
      <c r="O6" s="57">
        <f t="shared" si="2"/>
        <v>0</v>
      </c>
      <c r="P6" s="57">
        <f t="shared" si="2"/>
        <v>0</v>
      </c>
    </row>
    <row r="7" spans="1:16" x14ac:dyDescent="0.35">
      <c r="C7" s="32"/>
      <c r="D7" s="23"/>
      <c r="E7" s="355"/>
      <c r="F7" s="57"/>
      <c r="G7" s="57"/>
      <c r="H7" s="27"/>
      <c r="I7" s="27"/>
      <c r="J7" s="27"/>
      <c r="K7" s="27"/>
      <c r="L7" s="27"/>
      <c r="M7" s="27"/>
      <c r="N7" s="27"/>
      <c r="O7" s="27"/>
      <c r="P7" s="27"/>
    </row>
    <row r="8" spans="1:16" x14ac:dyDescent="0.35">
      <c r="A8" s="24" t="s">
        <v>3</v>
      </c>
      <c r="C8" s="32"/>
      <c r="D8" s="23"/>
      <c r="E8" s="355"/>
      <c r="F8" s="57"/>
      <c r="G8" s="57"/>
      <c r="H8" s="27"/>
      <c r="I8" s="27"/>
      <c r="J8" s="27"/>
      <c r="K8" s="27"/>
      <c r="L8" s="27"/>
      <c r="M8" s="27"/>
      <c r="N8" s="27"/>
      <c r="O8" s="27"/>
      <c r="P8" s="27"/>
    </row>
    <row r="9" spans="1:16" x14ac:dyDescent="0.35">
      <c r="A9" s="1" t="s">
        <v>272</v>
      </c>
      <c r="B9" s="1" t="s">
        <v>273</v>
      </c>
      <c r="C9" s="32">
        <v>7020</v>
      </c>
      <c r="D9" s="23">
        <f t="shared" ref="D9:D23" si="3">SUM(E9:P9)</f>
        <v>6050</v>
      </c>
      <c r="E9" s="355">
        <v>550</v>
      </c>
      <c r="F9" s="51">
        <v>550</v>
      </c>
      <c r="G9" s="51">
        <v>0</v>
      </c>
      <c r="H9" s="51">
        <v>1100</v>
      </c>
      <c r="I9" s="51">
        <v>550</v>
      </c>
      <c r="J9" s="51">
        <v>550</v>
      </c>
      <c r="K9" s="51">
        <v>550</v>
      </c>
      <c r="L9" s="51">
        <v>550</v>
      </c>
      <c r="M9" s="51">
        <v>0</v>
      </c>
      <c r="N9" s="51">
        <v>1100</v>
      </c>
      <c r="O9" s="57">
        <v>550</v>
      </c>
      <c r="P9" s="57">
        <v>0</v>
      </c>
    </row>
    <row r="10" spans="1:16" x14ac:dyDescent="0.35">
      <c r="B10" s="1" t="s">
        <v>277</v>
      </c>
      <c r="C10" s="32">
        <v>1480</v>
      </c>
      <c r="D10" s="23">
        <f t="shared" si="3"/>
        <v>0</v>
      </c>
      <c r="E10" s="355"/>
      <c r="F10" s="57"/>
      <c r="G10" s="57"/>
      <c r="H10" s="57">
        <v>0</v>
      </c>
      <c r="I10" s="57"/>
      <c r="J10" s="57"/>
      <c r="K10" s="57">
        <v>0</v>
      </c>
      <c r="L10" s="57"/>
      <c r="M10" s="57"/>
      <c r="N10" s="57"/>
      <c r="O10" s="57"/>
      <c r="P10" s="57">
        <v>0</v>
      </c>
    </row>
    <row r="11" spans="1:16" x14ac:dyDescent="0.35">
      <c r="B11" s="1" t="s">
        <v>278</v>
      </c>
      <c r="C11" s="32">
        <v>1150</v>
      </c>
      <c r="D11" s="23">
        <f t="shared" si="3"/>
        <v>593.54</v>
      </c>
      <c r="E11" s="355"/>
      <c r="F11" s="57">
        <v>0</v>
      </c>
      <c r="G11" s="57"/>
      <c r="H11" s="57"/>
      <c r="I11" s="57"/>
      <c r="J11" s="57"/>
      <c r="K11" s="57">
        <v>593.54</v>
      </c>
      <c r="L11" s="57"/>
      <c r="M11" s="57"/>
      <c r="N11" s="57"/>
      <c r="O11" s="57"/>
      <c r="P11" s="57">
        <v>0</v>
      </c>
    </row>
    <row r="12" spans="1:16" x14ac:dyDescent="0.35">
      <c r="C12" s="32"/>
      <c r="D12" s="23"/>
      <c r="E12" s="355"/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57"/>
    </row>
    <row r="13" spans="1:16" x14ac:dyDescent="0.35">
      <c r="A13" s="1" t="s">
        <v>48</v>
      </c>
      <c r="B13" s="1" t="s">
        <v>5</v>
      </c>
      <c r="C13" s="32">
        <v>1080</v>
      </c>
      <c r="D13" s="23">
        <f t="shared" si="3"/>
        <v>1032.9600000000003</v>
      </c>
      <c r="E13" s="355">
        <v>86.08</v>
      </c>
      <c r="F13" s="51">
        <v>86.08</v>
      </c>
      <c r="G13" s="51">
        <v>86.08</v>
      </c>
      <c r="H13" s="51">
        <v>86.08</v>
      </c>
      <c r="I13" s="51">
        <v>86.08</v>
      </c>
      <c r="J13" s="51">
        <v>86.08</v>
      </c>
      <c r="K13" s="51">
        <v>86.08</v>
      </c>
      <c r="L13" s="51">
        <v>86.08</v>
      </c>
      <c r="M13" s="51">
        <v>86.08</v>
      </c>
      <c r="N13" s="51">
        <v>86.08</v>
      </c>
      <c r="O13" s="57">
        <v>86.08</v>
      </c>
      <c r="P13" s="57">
        <v>86.08</v>
      </c>
    </row>
    <row r="14" spans="1:16" x14ac:dyDescent="0.35">
      <c r="C14" s="32"/>
      <c r="D14" s="23"/>
      <c r="E14" s="355"/>
      <c r="F14" s="57"/>
      <c r="G14" s="57"/>
      <c r="H14" s="57"/>
      <c r="I14" s="57"/>
      <c r="J14" s="57"/>
      <c r="K14" s="26"/>
      <c r="L14" s="57"/>
      <c r="M14" s="57"/>
      <c r="N14" s="57"/>
      <c r="O14" s="57"/>
      <c r="P14" s="57"/>
    </row>
    <row r="15" spans="1:16" x14ac:dyDescent="0.35">
      <c r="A15" s="1" t="s">
        <v>46</v>
      </c>
      <c r="B15" s="1" t="s">
        <v>262</v>
      </c>
      <c r="C15" s="32">
        <v>60</v>
      </c>
      <c r="D15" s="23">
        <f t="shared" si="3"/>
        <v>48</v>
      </c>
      <c r="E15" s="355">
        <v>4</v>
      </c>
      <c r="F15" s="57">
        <v>4</v>
      </c>
      <c r="G15" s="57">
        <v>4</v>
      </c>
      <c r="H15" s="383">
        <v>4</v>
      </c>
      <c r="I15" s="57">
        <v>4</v>
      </c>
      <c r="J15" s="57">
        <v>4</v>
      </c>
      <c r="K15" s="57">
        <v>4</v>
      </c>
      <c r="L15" s="57">
        <v>4</v>
      </c>
      <c r="M15" s="57">
        <v>4</v>
      </c>
      <c r="N15" s="57">
        <v>4</v>
      </c>
      <c r="O15" s="57">
        <v>4</v>
      </c>
      <c r="P15" s="57">
        <v>4</v>
      </c>
    </row>
    <row r="16" spans="1:16" x14ac:dyDescent="0.35">
      <c r="C16" s="32"/>
      <c r="D16" s="23"/>
      <c r="E16" s="355"/>
      <c r="F16" s="57"/>
      <c r="G16" s="57"/>
      <c r="H16" s="57"/>
      <c r="I16" s="57"/>
      <c r="J16" s="57"/>
      <c r="K16" s="57"/>
      <c r="L16" s="57"/>
      <c r="M16" s="57"/>
      <c r="N16" s="57"/>
      <c r="O16" s="57"/>
      <c r="P16" s="57"/>
    </row>
    <row r="17" spans="1:16" x14ac:dyDescent="0.35">
      <c r="A17" s="1" t="s">
        <v>45</v>
      </c>
      <c r="B17" s="1" t="s">
        <v>16</v>
      </c>
      <c r="C17" s="32">
        <v>1210</v>
      </c>
      <c r="D17" s="23">
        <f t="shared" si="3"/>
        <v>1077.3899999999999</v>
      </c>
      <c r="E17" s="355"/>
      <c r="F17" s="57">
        <v>0</v>
      </c>
      <c r="G17" s="57"/>
      <c r="H17" s="57">
        <v>0</v>
      </c>
      <c r="I17" s="57">
        <v>262</v>
      </c>
      <c r="J17" s="57">
        <v>202.26</v>
      </c>
      <c r="K17" s="57"/>
      <c r="L17" s="57">
        <v>295.26</v>
      </c>
      <c r="M17" s="57"/>
      <c r="N17" s="57">
        <v>0</v>
      </c>
      <c r="O17" s="57"/>
      <c r="P17" s="57">
        <v>317.87</v>
      </c>
    </row>
    <row r="18" spans="1:16" x14ac:dyDescent="0.35">
      <c r="B18" s="1" t="s">
        <v>17</v>
      </c>
      <c r="C18" s="32">
        <v>0</v>
      </c>
      <c r="D18" s="23">
        <f t="shared" si="3"/>
        <v>0</v>
      </c>
      <c r="E18" s="355"/>
      <c r="F18" s="57"/>
      <c r="G18" s="57"/>
      <c r="H18" s="57"/>
      <c r="I18" s="57"/>
      <c r="J18" s="57"/>
      <c r="K18" s="57"/>
      <c r="L18" s="57"/>
      <c r="M18" s="57"/>
      <c r="N18" s="57"/>
      <c r="O18" s="57"/>
      <c r="P18" s="57"/>
    </row>
    <row r="19" spans="1:16" x14ac:dyDescent="0.35">
      <c r="C19" s="32"/>
      <c r="D19" s="23"/>
      <c r="E19" s="355"/>
      <c r="F19" s="57"/>
      <c r="G19" s="57"/>
      <c r="H19" s="57"/>
      <c r="I19" s="57"/>
      <c r="J19" s="57"/>
      <c r="K19" s="26"/>
      <c r="L19" s="57"/>
      <c r="M19" s="57"/>
      <c r="N19" s="57"/>
      <c r="O19" s="57"/>
      <c r="P19" s="57"/>
    </row>
    <row r="20" spans="1:16" x14ac:dyDescent="0.35">
      <c r="A20" s="1" t="s">
        <v>56</v>
      </c>
      <c r="B20" s="1" t="s">
        <v>30</v>
      </c>
      <c r="C20" s="32">
        <v>350</v>
      </c>
      <c r="D20" s="23">
        <f t="shared" si="3"/>
        <v>0</v>
      </c>
      <c r="E20" s="355"/>
      <c r="F20" s="57"/>
      <c r="G20" s="57"/>
      <c r="H20" s="57"/>
      <c r="I20" s="57"/>
      <c r="J20" s="57"/>
      <c r="K20" s="57"/>
      <c r="L20" s="57"/>
      <c r="M20" s="57">
        <v>0</v>
      </c>
      <c r="N20" s="57"/>
      <c r="O20" s="57"/>
      <c r="P20" s="57">
        <v>0</v>
      </c>
    </row>
    <row r="21" spans="1:16" x14ac:dyDescent="0.35">
      <c r="B21" s="1" t="s">
        <v>261</v>
      </c>
      <c r="C21" s="32">
        <v>100</v>
      </c>
      <c r="D21" s="23">
        <f t="shared" si="3"/>
        <v>0</v>
      </c>
      <c r="E21" s="355"/>
      <c r="F21" s="57"/>
      <c r="G21" s="57"/>
      <c r="H21" s="57"/>
      <c r="I21" s="57"/>
      <c r="J21" s="57"/>
      <c r="K21" s="57"/>
      <c r="L21" s="57"/>
      <c r="M21" s="57"/>
      <c r="N21" s="57">
        <v>0</v>
      </c>
      <c r="O21" s="57"/>
      <c r="P21" s="57">
        <v>0</v>
      </c>
    </row>
    <row r="22" spans="1:16" x14ac:dyDescent="0.35">
      <c r="B22" s="1" t="s">
        <v>383</v>
      </c>
      <c r="C22" s="32">
        <v>10</v>
      </c>
      <c r="D22" s="23">
        <f t="shared" si="3"/>
        <v>0</v>
      </c>
      <c r="E22" s="355"/>
      <c r="F22" s="57"/>
      <c r="G22" s="57"/>
      <c r="H22" s="57"/>
      <c r="I22" s="57"/>
      <c r="J22" s="57"/>
      <c r="K22" s="57"/>
      <c r="L22" s="57"/>
      <c r="M22" s="57"/>
      <c r="N22" s="57">
        <v>0</v>
      </c>
      <c r="O22" s="57"/>
      <c r="P22" s="57">
        <v>0</v>
      </c>
    </row>
    <row r="23" spans="1:16" x14ac:dyDescent="0.35">
      <c r="B23" s="1" t="s">
        <v>162</v>
      </c>
      <c r="C23" s="33">
        <v>300</v>
      </c>
      <c r="D23" s="309">
        <f t="shared" si="3"/>
        <v>0</v>
      </c>
      <c r="E23" s="354">
        <v>0</v>
      </c>
      <c r="F23" s="56">
        <v>0</v>
      </c>
      <c r="G23" s="56">
        <v>0</v>
      </c>
      <c r="H23" s="56">
        <v>0</v>
      </c>
      <c r="I23" s="56">
        <v>0</v>
      </c>
      <c r="J23" s="56">
        <v>0</v>
      </c>
      <c r="K23" s="56">
        <v>0</v>
      </c>
      <c r="L23" s="56">
        <v>0</v>
      </c>
      <c r="M23" s="56">
        <v>0</v>
      </c>
      <c r="N23" s="56">
        <v>0</v>
      </c>
      <c r="O23" s="56">
        <v>0</v>
      </c>
      <c r="P23" s="56">
        <v>0</v>
      </c>
    </row>
    <row r="24" spans="1:16" x14ac:dyDescent="0.35">
      <c r="A24" s="25" t="s">
        <v>24</v>
      </c>
      <c r="C24" s="34">
        <f t="shared" ref="C24:P24" si="4">SUM(C9:C23)</f>
        <v>12760</v>
      </c>
      <c r="D24" s="390">
        <f>SUM(D9:D23)</f>
        <v>8801.89</v>
      </c>
      <c r="E24" s="357">
        <f t="shared" si="4"/>
        <v>640.08000000000004</v>
      </c>
      <c r="F24" s="30">
        <f t="shared" si="4"/>
        <v>640.08000000000004</v>
      </c>
      <c r="G24" s="30">
        <f t="shared" si="4"/>
        <v>90.08</v>
      </c>
      <c r="H24" s="30">
        <f t="shared" si="4"/>
        <v>1190.08</v>
      </c>
      <c r="I24" s="30">
        <f t="shared" si="4"/>
        <v>902.08</v>
      </c>
      <c r="J24" s="30">
        <f t="shared" si="4"/>
        <v>842.34</v>
      </c>
      <c r="K24" s="30">
        <f t="shared" si="4"/>
        <v>1233.6199999999999</v>
      </c>
      <c r="L24" s="30">
        <f t="shared" si="4"/>
        <v>935.34</v>
      </c>
      <c r="M24" s="30">
        <f t="shared" si="4"/>
        <v>90.08</v>
      </c>
      <c r="N24" s="30">
        <f t="shared" si="4"/>
        <v>1190.08</v>
      </c>
      <c r="O24" s="30">
        <f t="shared" si="4"/>
        <v>640.08000000000004</v>
      </c>
      <c r="P24" s="30">
        <f t="shared" si="4"/>
        <v>407.95</v>
      </c>
    </row>
    <row r="25" spans="1:16" x14ac:dyDescent="0.35">
      <c r="C25" s="32"/>
      <c r="D25" s="370"/>
      <c r="E25" s="373"/>
      <c r="F25" s="363"/>
      <c r="G25" s="363"/>
    </row>
    <row r="26" spans="1:16" ht="16" thickBot="1" x14ac:dyDescent="0.4">
      <c r="A26" s="37" t="s">
        <v>50</v>
      </c>
      <c r="C26" s="368">
        <f t="shared" ref="C26:P26" si="5">+C2+C6-C24</f>
        <v>18748.039999999997</v>
      </c>
      <c r="D26" s="436">
        <f t="shared" si="5"/>
        <v>22706.149999999998</v>
      </c>
      <c r="E26" s="384">
        <f t="shared" si="5"/>
        <v>17107.959999999995</v>
      </c>
      <c r="F26" s="364">
        <f t="shared" si="5"/>
        <v>16467.879999999994</v>
      </c>
      <c r="G26" s="364">
        <f t="shared" si="5"/>
        <v>16377.799999999994</v>
      </c>
      <c r="H26" s="364">
        <f t="shared" si="5"/>
        <v>28087.719999999994</v>
      </c>
      <c r="I26" s="364">
        <f t="shared" si="5"/>
        <v>27185.639999999992</v>
      </c>
      <c r="J26" s="364">
        <f t="shared" si="5"/>
        <v>26773.299999999992</v>
      </c>
      <c r="K26" s="364">
        <f t="shared" si="5"/>
        <v>25539.679999999993</v>
      </c>
      <c r="L26" s="364">
        <f t="shared" si="5"/>
        <v>25034.339999999993</v>
      </c>
      <c r="M26" s="364">
        <f t="shared" si="5"/>
        <v>24944.259999999991</v>
      </c>
      <c r="N26" s="364">
        <f t="shared" si="5"/>
        <v>23754.179999999993</v>
      </c>
      <c r="O26" s="364">
        <f t="shared" si="5"/>
        <v>23114.099999999991</v>
      </c>
      <c r="P26" s="364">
        <f t="shared" si="5"/>
        <v>22706.149999999991</v>
      </c>
    </row>
    <row r="27" spans="1:16" x14ac:dyDescent="0.35">
      <c r="A27" s="37"/>
      <c r="C27" s="215"/>
      <c r="D27" s="215"/>
      <c r="E27" s="374"/>
      <c r="F27" s="364"/>
      <c r="G27" s="364"/>
      <c r="H27" s="364"/>
      <c r="I27" s="364"/>
      <c r="J27" s="364"/>
      <c r="K27" s="364"/>
      <c r="L27" s="364"/>
      <c r="M27" s="364"/>
      <c r="N27" s="364"/>
      <c r="O27" s="364"/>
      <c r="P27" s="364"/>
    </row>
    <row r="28" spans="1:16" ht="16" thickBot="1" x14ac:dyDescent="0.4">
      <c r="A28" s="375" t="s">
        <v>359</v>
      </c>
      <c r="C28" s="215"/>
      <c r="D28" s="215"/>
      <c r="E28" s="374"/>
      <c r="F28" s="364"/>
      <c r="G28" s="364"/>
      <c r="H28" s="364"/>
      <c r="I28" s="364"/>
      <c r="J28" s="364"/>
      <c r="K28" s="364"/>
      <c r="L28" s="364"/>
      <c r="M28" s="364"/>
      <c r="N28" s="364"/>
      <c r="O28" s="364"/>
      <c r="P28" s="364"/>
    </row>
    <row r="29" spans="1:16" x14ac:dyDescent="0.35">
      <c r="A29" s="37" t="s">
        <v>357</v>
      </c>
      <c r="C29" s="376">
        <f>+C26-C30-C31</f>
        <v>10748.039999999997</v>
      </c>
      <c r="D29" s="376">
        <f>+D26-D30-D31</f>
        <v>14706.149999999998</v>
      </c>
      <c r="E29" s="374"/>
      <c r="F29" s="364"/>
      <c r="G29" s="364"/>
      <c r="H29" s="364"/>
      <c r="I29" s="364"/>
      <c r="J29" s="364"/>
      <c r="K29" s="364"/>
      <c r="L29" s="364"/>
      <c r="M29" s="364"/>
      <c r="N29" s="364"/>
      <c r="O29" s="364"/>
      <c r="P29" s="364"/>
    </row>
    <row r="30" spans="1:16" x14ac:dyDescent="0.35">
      <c r="A30" s="37" t="s">
        <v>358</v>
      </c>
      <c r="C30" s="377">
        <v>5000</v>
      </c>
      <c r="D30" s="377">
        <v>5000</v>
      </c>
      <c r="E30" s="374"/>
      <c r="F30" s="364"/>
      <c r="G30" s="364"/>
      <c r="H30" s="364"/>
      <c r="I30" s="364"/>
      <c r="J30" s="364"/>
      <c r="K30" s="364"/>
      <c r="L30" s="364"/>
      <c r="M30" s="364"/>
      <c r="N30" s="364"/>
      <c r="O30" s="364"/>
      <c r="P30" s="364"/>
    </row>
    <row r="31" spans="1:16" ht="16" thickBot="1" x14ac:dyDescent="0.4">
      <c r="A31" s="37" t="s">
        <v>381</v>
      </c>
      <c r="C31" s="378">
        <v>3000</v>
      </c>
      <c r="D31" s="378">
        <v>3000</v>
      </c>
      <c r="E31" s="374"/>
      <c r="F31" s="364"/>
      <c r="G31" s="364"/>
      <c r="H31" s="364"/>
      <c r="I31" s="364"/>
      <c r="J31" s="364"/>
      <c r="K31" s="364"/>
      <c r="L31" s="364"/>
      <c r="M31" s="364"/>
      <c r="N31" s="364"/>
      <c r="O31" s="364"/>
      <c r="P31" s="364"/>
    </row>
    <row r="32" spans="1:16" x14ac:dyDescent="0.35">
      <c r="A32" s="3"/>
      <c r="C32" s="99"/>
      <c r="D32" s="99"/>
      <c r="E32" s="537"/>
      <c r="F32" s="537"/>
      <c r="G32" s="537"/>
      <c r="H32" s="537"/>
      <c r="I32" s="537"/>
      <c r="J32" s="537"/>
      <c r="K32" s="537"/>
      <c r="L32" s="537"/>
    </row>
    <row r="33" spans="1:16" s="9" customFormat="1" x14ac:dyDescent="0.35">
      <c r="A33" s="1" t="s">
        <v>274</v>
      </c>
      <c r="B33" s="2"/>
      <c r="C33" s="313">
        <f t="shared" ref="C33:D35" si="6">+C9</f>
        <v>7020</v>
      </c>
      <c r="D33" s="313">
        <f t="shared" si="6"/>
        <v>6050</v>
      </c>
      <c r="E33" s="283">
        <f>+D33/32</f>
        <v>189.0625</v>
      </c>
      <c r="H33" s="1"/>
      <c r="I33" s="1"/>
      <c r="J33" s="1"/>
      <c r="K33" s="1"/>
      <c r="L33" s="1"/>
      <c r="M33" s="1"/>
      <c r="N33" s="1"/>
      <c r="O33" s="1"/>
      <c r="P33" s="1"/>
    </row>
    <row r="34" spans="1:16" s="9" customFormat="1" x14ac:dyDescent="0.35">
      <c r="A34" s="1" t="s">
        <v>275</v>
      </c>
      <c r="B34" s="2"/>
      <c r="C34" s="313">
        <f t="shared" si="6"/>
        <v>1480</v>
      </c>
      <c r="D34" s="313">
        <f t="shared" si="6"/>
        <v>0</v>
      </c>
      <c r="E34" s="283">
        <f t="shared" ref="E34:E39" si="7">+D34/32</f>
        <v>0</v>
      </c>
      <c r="H34" s="1"/>
      <c r="I34" s="1"/>
      <c r="J34" s="1"/>
      <c r="K34" s="1"/>
      <c r="L34" s="1"/>
      <c r="M34" s="1"/>
      <c r="N34" s="1"/>
      <c r="O34" s="1"/>
      <c r="P34" s="1"/>
    </row>
    <row r="35" spans="1:16" s="9" customFormat="1" x14ac:dyDescent="0.35">
      <c r="A35" s="1" t="s">
        <v>276</v>
      </c>
      <c r="B35" s="2"/>
      <c r="C35" s="313">
        <f t="shared" si="6"/>
        <v>1150</v>
      </c>
      <c r="D35" s="313">
        <f t="shared" si="6"/>
        <v>593.54</v>
      </c>
      <c r="E35" s="283">
        <f t="shared" si="7"/>
        <v>18.548124999999999</v>
      </c>
      <c r="H35" s="1"/>
      <c r="I35" s="1"/>
      <c r="J35" s="1"/>
      <c r="K35" s="1"/>
      <c r="L35" s="1"/>
      <c r="M35" s="1"/>
      <c r="N35" s="1"/>
      <c r="O35" s="1"/>
      <c r="P35" s="1"/>
    </row>
    <row r="36" spans="1:16" x14ac:dyDescent="0.35">
      <c r="A36" s="1" t="s">
        <v>4</v>
      </c>
      <c r="B36" s="2"/>
      <c r="C36" s="313">
        <f>+C13</f>
        <v>1080</v>
      </c>
      <c r="D36" s="313">
        <f>+D13</f>
        <v>1032.9600000000003</v>
      </c>
      <c r="E36" s="283">
        <f t="shared" si="7"/>
        <v>32.280000000000008</v>
      </c>
    </row>
    <row r="37" spans="1:16" x14ac:dyDescent="0.35">
      <c r="A37" s="1" t="s">
        <v>79</v>
      </c>
      <c r="B37" s="2"/>
      <c r="C37" s="313">
        <f>+C17+C18</f>
        <v>1210</v>
      </c>
      <c r="D37" s="313">
        <f>+D17+D18</f>
        <v>1077.3899999999999</v>
      </c>
      <c r="E37" s="283">
        <f t="shared" si="7"/>
        <v>33.668437499999996</v>
      </c>
    </row>
    <row r="38" spans="1:16" s="9" customFormat="1" x14ac:dyDescent="0.35">
      <c r="A38" s="1" t="s">
        <v>392</v>
      </c>
      <c r="B38" s="2"/>
      <c r="C38" s="313">
        <f>+C15+C20+C21+C22+C23</f>
        <v>820</v>
      </c>
      <c r="D38" s="313">
        <f>+D15+D20+D21+D22+D23</f>
        <v>48</v>
      </c>
      <c r="E38" s="283">
        <f t="shared" si="7"/>
        <v>1.5</v>
      </c>
      <c r="H38" s="1"/>
      <c r="I38" s="1"/>
      <c r="J38" s="1"/>
      <c r="K38" s="1"/>
      <c r="L38" s="1"/>
      <c r="M38" s="1"/>
      <c r="N38" s="1"/>
      <c r="O38" s="1"/>
      <c r="P38" s="1"/>
    </row>
    <row r="39" spans="1:16" s="9" customFormat="1" x14ac:dyDescent="0.35">
      <c r="A39" s="1" t="s">
        <v>388</v>
      </c>
      <c r="B39" s="2"/>
      <c r="C39" s="314">
        <f>+C5-C24</f>
        <v>1000</v>
      </c>
      <c r="D39" s="314">
        <f>+D5-D24</f>
        <v>4958.1100000000006</v>
      </c>
      <c r="E39" s="284">
        <f t="shared" si="7"/>
        <v>154.94093750000002</v>
      </c>
      <c r="H39" s="1"/>
      <c r="I39" s="1"/>
      <c r="J39" s="1"/>
      <c r="K39" s="1"/>
      <c r="L39" s="1"/>
      <c r="M39" s="1"/>
      <c r="N39" s="1"/>
      <c r="O39" s="1"/>
      <c r="P39" s="1"/>
    </row>
    <row r="40" spans="1:16" x14ac:dyDescent="0.35">
      <c r="A40" s="1" t="s">
        <v>389</v>
      </c>
      <c r="B40" s="2"/>
      <c r="C40" s="313">
        <f>SUM(C33:C39)</f>
        <v>13760</v>
      </c>
      <c r="D40" s="313">
        <f>+D6</f>
        <v>13760</v>
      </c>
      <c r="E40" s="283">
        <f>+D40/32</f>
        <v>430</v>
      </c>
    </row>
    <row r="42" spans="1:16" x14ac:dyDescent="0.35">
      <c r="A42" s="261" t="s">
        <v>399</v>
      </c>
    </row>
    <row r="43" spans="1:16" x14ac:dyDescent="0.35">
      <c r="A43" s="1" t="s">
        <v>395</v>
      </c>
      <c r="D43" s="23">
        <v>550</v>
      </c>
    </row>
    <row r="44" spans="1:16" x14ac:dyDescent="0.35">
      <c r="A44" s="1" t="s">
        <v>394</v>
      </c>
      <c r="D44" s="23">
        <v>133.94</v>
      </c>
    </row>
    <row r="45" spans="1:16" x14ac:dyDescent="0.35">
      <c r="A45" s="1" t="s">
        <v>396</v>
      </c>
      <c r="D45" s="23">
        <v>200</v>
      </c>
    </row>
    <row r="46" spans="1:16" x14ac:dyDescent="0.35">
      <c r="A46" s="1" t="s">
        <v>397</v>
      </c>
      <c r="D46" s="23">
        <v>379.19</v>
      </c>
    </row>
    <row r="47" spans="1:16" x14ac:dyDescent="0.35">
      <c r="A47" s="1" t="s">
        <v>398</v>
      </c>
      <c r="D47" s="309">
        <v>198</v>
      </c>
    </row>
    <row r="48" spans="1:16" x14ac:dyDescent="0.35">
      <c r="D48" s="23">
        <f>SUM(D43:D47)</f>
        <v>1461.13</v>
      </c>
      <c r="E48" s="294">
        <f>+D48/32</f>
        <v>45.660312500000003</v>
      </c>
    </row>
  </sheetData>
  <mergeCells count="2">
    <mergeCell ref="A1:B1"/>
    <mergeCell ref="E32:L32"/>
  </mergeCells>
  <conditionalFormatting sqref="C32:D32">
    <cfRule type="cellIs" dxfId="1" priority="1" operator="lessThan">
      <formula>0</formula>
    </cfRule>
  </conditionalFormatting>
  <pageMargins left="0.25" right="0.25" top="0.75" bottom="0.75" header="0.3" footer="0.3"/>
  <pageSetup scale="64" orientation="landscape" horizontalDpi="4294967293" r:id="rId1"/>
  <drawing r:id="rId2"/>
  <legacyDrawing r:id="rId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2B205E-1B8E-4C2D-BABD-98EA93CBE1D0}">
  <sheetPr>
    <tabColor rgb="FFFF0000"/>
    <pageSetUpPr fitToPage="1"/>
  </sheetPr>
  <dimension ref="A1:O63"/>
  <sheetViews>
    <sheetView zoomScaleNormal="100" workbookViewId="0">
      <pane xSplit="1" ySplit="5" topLeftCell="B39" activePane="bottomRight" state="frozen"/>
      <selection pane="topRight" activeCell="B1" sqref="B1"/>
      <selection pane="bottomLeft" activeCell="A6" sqref="A6"/>
      <selection pane="bottomRight" activeCell="C37" sqref="C37"/>
    </sheetView>
  </sheetViews>
  <sheetFormatPr defaultRowHeight="14.5" x14ac:dyDescent="0.35"/>
  <cols>
    <col min="1" max="1" width="10" customWidth="1"/>
    <col min="2" max="2" width="11.6328125" customWidth="1"/>
    <col min="3" max="3" width="21.6328125" customWidth="1"/>
    <col min="4" max="4" width="8.6328125" customWidth="1"/>
    <col min="5" max="5" width="10.6328125" customWidth="1"/>
    <col min="6" max="12" width="9.6328125" customWidth="1"/>
    <col min="13" max="13" width="32.54296875" customWidth="1"/>
    <col min="14" max="14" width="10.08984375" bestFit="1" customWidth="1"/>
  </cols>
  <sheetData>
    <row r="1" spans="1:15" ht="18.5" x14ac:dyDescent="0.45">
      <c r="A1" s="110">
        <v>2022</v>
      </c>
      <c r="B1" s="110" t="s">
        <v>92</v>
      </c>
      <c r="M1" s="115" t="s">
        <v>57</v>
      </c>
      <c r="N1" s="101">
        <f>+'2021 Ck Reg'!N48</f>
        <v>22706.149999999969</v>
      </c>
      <c r="O1" s="101"/>
    </row>
    <row r="2" spans="1:15" x14ac:dyDescent="0.35">
      <c r="A2" t="s">
        <v>1</v>
      </c>
      <c r="N2" s="112"/>
    </row>
    <row r="3" spans="1:15" x14ac:dyDescent="0.35">
      <c r="N3" s="101"/>
    </row>
    <row r="4" spans="1:15" x14ac:dyDescent="0.35">
      <c r="A4" s="109" t="s">
        <v>196</v>
      </c>
      <c r="N4" s="101"/>
    </row>
    <row r="5" spans="1:15" x14ac:dyDescent="0.35">
      <c r="A5" s="108" t="s">
        <v>76</v>
      </c>
      <c r="B5" s="109" t="s">
        <v>77</v>
      </c>
      <c r="C5" s="109" t="s">
        <v>106</v>
      </c>
      <c r="D5" s="109" t="s">
        <v>254</v>
      </c>
      <c r="E5" s="108" t="s">
        <v>78</v>
      </c>
      <c r="F5" s="108" t="s">
        <v>94</v>
      </c>
      <c r="G5" s="108" t="s">
        <v>95</v>
      </c>
      <c r="H5" s="108" t="s">
        <v>79</v>
      </c>
      <c r="I5" s="108" t="s">
        <v>96</v>
      </c>
      <c r="J5" s="108" t="s">
        <v>80</v>
      </c>
      <c r="K5" s="108" t="s">
        <v>81</v>
      </c>
      <c r="L5" s="108" t="s">
        <v>82</v>
      </c>
      <c r="M5" s="108" t="s">
        <v>97</v>
      </c>
      <c r="N5" s="111" t="s">
        <v>93</v>
      </c>
    </row>
    <row r="6" spans="1:15" x14ac:dyDescent="0.35">
      <c r="A6" s="310">
        <v>44564</v>
      </c>
      <c r="B6" s="101">
        <v>-4</v>
      </c>
      <c r="C6" s="101" t="s">
        <v>86</v>
      </c>
      <c r="D6" s="201" t="s">
        <v>154</v>
      </c>
      <c r="E6" s="101"/>
      <c r="F6" s="101"/>
      <c r="G6" s="101"/>
      <c r="H6" s="101"/>
      <c r="I6" s="101"/>
      <c r="J6" s="101">
        <f>+B6</f>
        <v>-4</v>
      </c>
      <c r="K6" s="101"/>
      <c r="L6" s="101"/>
      <c r="M6" s="101"/>
      <c r="N6" s="101">
        <f>+N1+SUM(E6:L6)</f>
        <v>22702.149999999969</v>
      </c>
    </row>
    <row r="7" spans="1:15" x14ac:dyDescent="0.35">
      <c r="A7" s="105">
        <v>44579</v>
      </c>
      <c r="B7" s="101">
        <v>-550</v>
      </c>
      <c r="C7" s="101" t="s">
        <v>269</v>
      </c>
      <c r="D7" s="201">
        <v>1022</v>
      </c>
      <c r="E7" s="101"/>
      <c r="F7" s="101"/>
      <c r="G7" s="101">
        <f>+B7</f>
        <v>-550</v>
      </c>
      <c r="H7" s="101"/>
      <c r="I7" s="101"/>
      <c r="J7" s="101"/>
      <c r="K7" s="101"/>
      <c r="L7" s="101"/>
      <c r="M7" s="101"/>
      <c r="N7" s="101">
        <f>+N6+SUM(E7:L7)</f>
        <v>22152.149999999969</v>
      </c>
    </row>
    <row r="8" spans="1:15" x14ac:dyDescent="0.35">
      <c r="A8" s="105">
        <v>44579</v>
      </c>
      <c r="B8" s="101">
        <v>-550</v>
      </c>
      <c r="C8" s="101" t="s">
        <v>269</v>
      </c>
      <c r="D8" s="201">
        <v>1070</v>
      </c>
      <c r="E8" s="101"/>
      <c r="F8" s="101"/>
      <c r="G8" s="101">
        <f>+B8</f>
        <v>-550</v>
      </c>
      <c r="H8" s="101"/>
      <c r="I8" s="101"/>
      <c r="J8" s="101"/>
      <c r="K8" s="101"/>
      <c r="L8" s="101"/>
      <c r="M8" s="101"/>
      <c r="N8" s="101">
        <f>+N7+SUM(E8:L8)</f>
        <v>21602.149999999969</v>
      </c>
      <c r="O8" s="365"/>
    </row>
    <row r="9" spans="1:15" x14ac:dyDescent="0.35">
      <c r="A9" s="105">
        <v>44585</v>
      </c>
      <c r="B9" s="101">
        <v>-86.08</v>
      </c>
      <c r="C9" s="101" t="s">
        <v>5</v>
      </c>
      <c r="D9" s="201" t="s">
        <v>154</v>
      </c>
      <c r="E9" s="101"/>
      <c r="F9" s="101">
        <f>+B9</f>
        <v>-86.08</v>
      </c>
      <c r="G9" s="101"/>
      <c r="H9" s="101"/>
      <c r="I9" s="101"/>
      <c r="J9" s="101"/>
      <c r="K9" s="101"/>
      <c r="L9" s="101"/>
      <c r="M9" s="101"/>
      <c r="N9" s="112">
        <f>+N8+SUM(E9:L9)</f>
        <v>21516.069999999967</v>
      </c>
      <c r="O9" s="365" t="s">
        <v>326</v>
      </c>
    </row>
    <row r="10" spans="1:15" x14ac:dyDescent="0.35">
      <c r="A10" s="105">
        <v>44593</v>
      </c>
      <c r="B10" s="101">
        <v>-4</v>
      </c>
      <c r="C10" s="101" t="s">
        <v>86</v>
      </c>
      <c r="D10" s="201" t="s">
        <v>154</v>
      </c>
      <c r="E10" s="101"/>
      <c r="F10" s="101"/>
      <c r="G10" s="101"/>
      <c r="H10" s="101"/>
      <c r="I10" s="101"/>
      <c r="J10" s="101">
        <f>+B10</f>
        <v>-4</v>
      </c>
      <c r="K10" s="101"/>
      <c r="L10" s="101"/>
      <c r="M10" s="101"/>
      <c r="N10" s="101">
        <f t="shared" ref="N10:N57" si="0">+N9+SUM(E10:L10)</f>
        <v>21512.069999999967</v>
      </c>
    </row>
    <row r="11" spans="1:15" x14ac:dyDescent="0.35">
      <c r="A11" s="105">
        <v>44609</v>
      </c>
      <c r="B11" s="101">
        <v>-550</v>
      </c>
      <c r="C11" s="101" t="s">
        <v>269</v>
      </c>
      <c r="D11" s="201">
        <v>1024</v>
      </c>
      <c r="E11" s="101"/>
      <c r="F11" s="101"/>
      <c r="G11" s="101">
        <f>+B11</f>
        <v>-550</v>
      </c>
      <c r="H11" s="101"/>
      <c r="I11" s="101"/>
      <c r="J11" s="101"/>
      <c r="K11" s="101"/>
      <c r="L11" s="101"/>
      <c r="M11" s="101"/>
      <c r="N11" s="101">
        <f t="shared" si="0"/>
        <v>20962.069999999967</v>
      </c>
      <c r="O11" s="365"/>
    </row>
    <row r="12" spans="1:15" x14ac:dyDescent="0.35">
      <c r="A12" s="105">
        <v>44614</v>
      </c>
      <c r="B12" s="101">
        <v>-198</v>
      </c>
      <c r="C12" s="101" t="s">
        <v>241</v>
      </c>
      <c r="D12" s="201">
        <v>1023</v>
      </c>
      <c r="E12" s="101"/>
      <c r="F12" s="101"/>
      <c r="G12" s="101"/>
      <c r="H12" s="101"/>
      <c r="I12" s="101"/>
      <c r="J12" s="101"/>
      <c r="K12" s="101"/>
      <c r="L12" s="101">
        <f>+B12</f>
        <v>-198</v>
      </c>
      <c r="M12" s="101" t="s">
        <v>391</v>
      </c>
      <c r="N12" s="101">
        <f t="shared" si="0"/>
        <v>20764.069999999967</v>
      </c>
    </row>
    <row r="13" spans="1:15" x14ac:dyDescent="0.35">
      <c r="A13" s="105">
        <v>44615</v>
      </c>
      <c r="B13" s="101">
        <v>-86.08</v>
      </c>
      <c r="C13" s="101" t="s">
        <v>5</v>
      </c>
      <c r="D13" s="201" t="s">
        <v>154</v>
      </c>
      <c r="E13" s="101"/>
      <c r="F13" s="101">
        <f>+B13</f>
        <v>-86.08</v>
      </c>
      <c r="G13" s="101"/>
      <c r="H13" s="101"/>
      <c r="I13" s="101"/>
      <c r="J13" s="101"/>
      <c r="K13" s="101"/>
      <c r="L13" s="101"/>
      <c r="M13" s="101"/>
      <c r="N13" s="112">
        <f t="shared" si="0"/>
        <v>20677.989999999965</v>
      </c>
      <c r="O13" s="365" t="s">
        <v>332</v>
      </c>
    </row>
    <row r="14" spans="1:15" x14ac:dyDescent="0.35">
      <c r="A14" s="105">
        <v>44621</v>
      </c>
      <c r="B14" s="101">
        <v>-4</v>
      </c>
      <c r="C14" s="101" t="s">
        <v>86</v>
      </c>
      <c r="D14" s="201" t="s">
        <v>154</v>
      </c>
      <c r="E14" s="101"/>
      <c r="F14" s="101"/>
      <c r="G14" s="101"/>
      <c r="H14" s="101"/>
      <c r="I14" s="101"/>
      <c r="J14" s="101">
        <f>+B14</f>
        <v>-4</v>
      </c>
      <c r="K14" s="101"/>
      <c r="L14" s="101"/>
      <c r="M14" s="101"/>
      <c r="N14" s="101">
        <f t="shared" si="0"/>
        <v>20673.989999999965</v>
      </c>
    </row>
    <row r="15" spans="1:15" x14ac:dyDescent="0.35">
      <c r="A15" s="105">
        <v>44622</v>
      </c>
      <c r="B15" s="101">
        <v>-428.01</v>
      </c>
      <c r="C15" s="101" t="s">
        <v>16</v>
      </c>
      <c r="D15" s="201">
        <v>1072</v>
      </c>
      <c r="E15" s="101"/>
      <c r="F15" s="101"/>
      <c r="G15" s="101"/>
      <c r="H15" s="101">
        <f>+B15</f>
        <v>-428.01</v>
      </c>
      <c r="I15" s="101"/>
      <c r="J15" s="101"/>
      <c r="K15" s="101"/>
      <c r="L15" s="101"/>
      <c r="M15" s="101"/>
      <c r="N15" s="101">
        <f t="shared" si="0"/>
        <v>20245.979999999967</v>
      </c>
    </row>
    <row r="16" spans="1:15" x14ac:dyDescent="0.35">
      <c r="A16" s="105">
        <v>44627</v>
      </c>
      <c r="B16" s="101">
        <v>-550</v>
      </c>
      <c r="C16" s="101" t="s">
        <v>269</v>
      </c>
      <c r="D16" s="201">
        <v>1071</v>
      </c>
      <c r="E16" s="101"/>
      <c r="F16" s="101"/>
      <c r="G16" s="101">
        <f>+B16</f>
        <v>-550</v>
      </c>
      <c r="H16" s="101"/>
      <c r="I16" s="101"/>
      <c r="J16" s="101"/>
      <c r="K16" s="101"/>
      <c r="L16" s="101"/>
      <c r="M16" s="101"/>
      <c r="N16" s="101">
        <f t="shared" si="0"/>
        <v>19695.979999999967</v>
      </c>
    </row>
    <row r="17" spans="1:15" x14ac:dyDescent="0.35">
      <c r="A17" s="105">
        <v>44643</v>
      </c>
      <c r="B17" s="101">
        <v>-86.08</v>
      </c>
      <c r="C17" s="101" t="s">
        <v>5</v>
      </c>
      <c r="D17" s="201" t="s">
        <v>154</v>
      </c>
      <c r="E17" s="101"/>
      <c r="F17" s="101">
        <f>+B17</f>
        <v>-86.08</v>
      </c>
      <c r="G17" s="101"/>
      <c r="H17" s="101"/>
      <c r="I17" s="101"/>
      <c r="J17" s="101"/>
      <c r="K17" s="101"/>
      <c r="L17" s="101"/>
      <c r="M17" s="101"/>
      <c r="N17" s="112">
        <f t="shared" si="0"/>
        <v>19609.899999999965</v>
      </c>
      <c r="O17" s="365" t="s">
        <v>336</v>
      </c>
    </row>
    <row r="18" spans="1:15" x14ac:dyDescent="0.35">
      <c r="A18" s="105">
        <v>44652</v>
      </c>
      <c r="B18" s="101">
        <v>-4</v>
      </c>
      <c r="C18" s="101" t="s">
        <v>86</v>
      </c>
      <c r="D18" s="201" t="s">
        <v>154</v>
      </c>
      <c r="E18" s="101"/>
      <c r="F18" s="101"/>
      <c r="G18" s="101"/>
      <c r="H18" s="101"/>
      <c r="I18" s="101"/>
      <c r="J18" s="101">
        <f>+B18</f>
        <v>-4</v>
      </c>
      <c r="K18" s="101"/>
      <c r="L18" s="101"/>
      <c r="M18" s="101"/>
      <c r="N18" s="101">
        <f t="shared" si="0"/>
        <v>19605.899999999965</v>
      </c>
      <c r="O18" s="365"/>
    </row>
    <row r="19" spans="1:15" x14ac:dyDescent="0.35">
      <c r="A19" s="105">
        <v>44670</v>
      </c>
      <c r="B19" s="101">
        <v>9460</v>
      </c>
      <c r="C19" s="101" t="s">
        <v>78</v>
      </c>
      <c r="D19" s="201" t="s">
        <v>259</v>
      </c>
      <c r="E19" s="101">
        <f>+B19</f>
        <v>9460</v>
      </c>
      <c r="F19" s="101"/>
      <c r="G19" s="101"/>
      <c r="H19" s="101"/>
      <c r="I19" s="101"/>
      <c r="J19" s="101"/>
      <c r="K19" s="101"/>
      <c r="L19" s="101"/>
      <c r="M19" s="101" t="s">
        <v>401</v>
      </c>
      <c r="N19" s="101">
        <f t="shared" si="0"/>
        <v>29065.899999999965</v>
      </c>
    </row>
    <row r="20" spans="1:15" x14ac:dyDescent="0.35">
      <c r="A20" s="105">
        <v>44673</v>
      </c>
      <c r="B20" s="101">
        <v>-86.08</v>
      </c>
      <c r="C20" s="101" t="s">
        <v>5</v>
      </c>
      <c r="D20" s="201" t="s">
        <v>154</v>
      </c>
      <c r="E20" s="101"/>
      <c r="F20" s="101">
        <f>+B20</f>
        <v>-86.08</v>
      </c>
      <c r="G20" s="101"/>
      <c r="H20" s="101"/>
      <c r="I20" s="101"/>
      <c r="J20" s="101"/>
      <c r="K20" s="101"/>
      <c r="L20" s="101"/>
      <c r="M20" s="101"/>
      <c r="N20" s="112">
        <f>+N19+SUM(E20:L20)</f>
        <v>28979.819999999963</v>
      </c>
      <c r="O20" s="365" t="s">
        <v>340</v>
      </c>
    </row>
    <row r="21" spans="1:15" x14ac:dyDescent="0.35">
      <c r="A21" s="105">
        <v>44683</v>
      </c>
      <c r="B21" s="101">
        <v>-4</v>
      </c>
      <c r="C21" s="101" t="s">
        <v>86</v>
      </c>
      <c r="D21" s="201" t="s">
        <v>154</v>
      </c>
      <c r="E21" s="101"/>
      <c r="F21" s="101"/>
      <c r="G21" s="101"/>
      <c r="H21" s="101"/>
      <c r="I21" s="101"/>
      <c r="J21" s="101">
        <f>+B21</f>
        <v>-4</v>
      </c>
      <c r="K21" s="101"/>
      <c r="L21" s="101"/>
      <c r="M21" s="101"/>
      <c r="N21" s="101">
        <f t="shared" si="0"/>
        <v>28975.819999999963</v>
      </c>
    </row>
    <row r="22" spans="1:15" x14ac:dyDescent="0.35">
      <c r="A22" s="105">
        <v>44687</v>
      </c>
      <c r="B22" s="101">
        <v>-1100</v>
      </c>
      <c r="C22" s="101" t="s">
        <v>269</v>
      </c>
      <c r="D22" s="201">
        <v>1073</v>
      </c>
      <c r="E22" s="107"/>
      <c r="F22" s="101"/>
      <c r="G22" s="101">
        <f>+B22</f>
        <v>-1100</v>
      </c>
      <c r="H22" s="107"/>
      <c r="I22" s="107"/>
      <c r="J22" s="101"/>
      <c r="K22" s="107"/>
      <c r="L22" s="107"/>
      <c r="M22" s="101"/>
      <c r="N22" s="101">
        <f t="shared" si="0"/>
        <v>27875.819999999963</v>
      </c>
      <c r="O22" s="365"/>
    </row>
    <row r="23" spans="1:15" x14ac:dyDescent="0.35">
      <c r="A23" s="105">
        <v>44697</v>
      </c>
      <c r="B23" s="101">
        <v>2580</v>
      </c>
      <c r="C23" s="101" t="s">
        <v>78</v>
      </c>
      <c r="D23" s="201" t="s">
        <v>259</v>
      </c>
      <c r="E23" s="101">
        <f>+B23</f>
        <v>2580</v>
      </c>
      <c r="F23" s="101"/>
      <c r="G23" s="107"/>
      <c r="H23" s="107"/>
      <c r="I23" s="107"/>
      <c r="J23" s="101"/>
      <c r="K23" s="107"/>
      <c r="L23" s="101"/>
      <c r="M23" s="101" t="s">
        <v>402</v>
      </c>
      <c r="N23" s="101">
        <f t="shared" si="0"/>
        <v>30455.819999999963</v>
      </c>
    </row>
    <row r="24" spans="1:15" x14ac:dyDescent="0.35">
      <c r="A24" s="105">
        <v>44705</v>
      </c>
      <c r="B24" s="101">
        <v>-86.08</v>
      </c>
      <c r="C24" s="101" t="s">
        <v>5</v>
      </c>
      <c r="D24" s="201" t="s">
        <v>154</v>
      </c>
      <c r="E24" s="101"/>
      <c r="F24" s="101">
        <f>+B24</f>
        <v>-86.08</v>
      </c>
      <c r="G24" s="101"/>
      <c r="H24" s="101"/>
      <c r="I24" s="101"/>
      <c r="J24" s="101"/>
      <c r="K24" s="101"/>
      <c r="L24" s="101"/>
      <c r="M24" s="101"/>
      <c r="N24" s="112">
        <f t="shared" si="0"/>
        <v>30369.739999999962</v>
      </c>
      <c r="O24" s="365" t="s">
        <v>345</v>
      </c>
    </row>
    <row r="25" spans="1:15" x14ac:dyDescent="0.35">
      <c r="A25" s="105">
        <v>44713</v>
      </c>
      <c r="B25" s="101">
        <v>-4</v>
      </c>
      <c r="C25" s="101" t="s">
        <v>86</v>
      </c>
      <c r="D25" s="201" t="s">
        <v>154</v>
      </c>
      <c r="E25" s="101"/>
      <c r="F25" s="101"/>
      <c r="G25" s="101"/>
      <c r="H25" s="101"/>
      <c r="I25" s="101"/>
      <c r="J25" s="101">
        <f>+B25</f>
        <v>-4</v>
      </c>
      <c r="K25" s="101"/>
      <c r="L25" s="101"/>
      <c r="M25" s="101"/>
      <c r="N25" s="101">
        <f t="shared" si="0"/>
        <v>30365.739999999962</v>
      </c>
    </row>
    <row r="26" spans="1:15" x14ac:dyDescent="0.35">
      <c r="A26" s="105">
        <v>44734</v>
      </c>
      <c r="B26" s="101">
        <v>-86.08</v>
      </c>
      <c r="C26" s="101" t="s">
        <v>5</v>
      </c>
      <c r="D26" s="201" t="s">
        <v>154</v>
      </c>
      <c r="E26" s="107"/>
      <c r="F26" s="101">
        <f>+B26</f>
        <v>-86.08</v>
      </c>
      <c r="G26" s="107"/>
      <c r="H26" s="107"/>
      <c r="I26" s="107"/>
      <c r="J26" s="101"/>
      <c r="K26" s="107"/>
      <c r="L26" s="107"/>
      <c r="M26" s="101"/>
      <c r="N26" s="101">
        <f t="shared" si="0"/>
        <v>30279.65999999996</v>
      </c>
    </row>
    <row r="27" spans="1:15" x14ac:dyDescent="0.35">
      <c r="A27" s="105">
        <v>44734</v>
      </c>
      <c r="B27" s="101">
        <v>-398</v>
      </c>
      <c r="C27" s="101" t="s">
        <v>241</v>
      </c>
      <c r="D27" s="201">
        <v>1075</v>
      </c>
      <c r="E27" s="101"/>
      <c r="F27" s="101"/>
      <c r="G27" s="101"/>
      <c r="H27" s="101"/>
      <c r="I27" s="101"/>
      <c r="J27" s="101"/>
      <c r="K27" s="101"/>
      <c r="L27" s="101">
        <f>+B27</f>
        <v>-398</v>
      </c>
      <c r="M27" s="101" t="s">
        <v>403</v>
      </c>
      <c r="N27" s="101">
        <f t="shared" si="0"/>
        <v>29881.65999999996</v>
      </c>
      <c r="O27" s="365"/>
    </row>
    <row r="28" spans="1:15" x14ac:dyDescent="0.35">
      <c r="A28" s="105">
        <v>44734</v>
      </c>
      <c r="B28" s="101">
        <v>-843.2</v>
      </c>
      <c r="C28" s="101" t="s">
        <v>404</v>
      </c>
      <c r="D28" s="201">
        <v>1076</v>
      </c>
      <c r="E28" s="101"/>
      <c r="F28" s="101"/>
      <c r="G28" s="101"/>
      <c r="H28" s="101">
        <v>-330.2</v>
      </c>
      <c r="I28" s="101"/>
      <c r="J28" s="101"/>
      <c r="K28" s="101"/>
      <c r="L28" s="101">
        <f>+B28-H28</f>
        <v>-513</v>
      </c>
      <c r="M28" s="101" t="s">
        <v>405</v>
      </c>
      <c r="N28" s="112">
        <f>+N27+SUM(E28:L28)</f>
        <v>29038.459999999959</v>
      </c>
      <c r="O28" s="365" t="s">
        <v>351</v>
      </c>
    </row>
    <row r="29" spans="1:15" x14ac:dyDescent="0.35">
      <c r="A29" s="105">
        <v>44743</v>
      </c>
      <c r="B29" s="101">
        <v>-4</v>
      </c>
      <c r="C29" s="101" t="s">
        <v>86</v>
      </c>
      <c r="D29" s="201" t="s">
        <v>154</v>
      </c>
      <c r="E29" s="101"/>
      <c r="F29" s="101"/>
      <c r="G29" s="101"/>
      <c r="H29" s="101"/>
      <c r="I29" s="101"/>
      <c r="J29" s="101">
        <f>+B29</f>
        <v>-4</v>
      </c>
      <c r="K29" s="101"/>
      <c r="L29" s="101"/>
      <c r="M29" s="101"/>
      <c r="N29" s="101">
        <f t="shared" ref="N29:N32" si="1">+N28+SUM(E29:L29)</f>
        <v>29034.459999999959</v>
      </c>
      <c r="O29" s="365"/>
    </row>
    <row r="30" spans="1:15" x14ac:dyDescent="0.35">
      <c r="A30" s="105">
        <v>44750</v>
      </c>
      <c r="B30" s="101">
        <v>-550</v>
      </c>
      <c r="C30" s="101" t="s">
        <v>269</v>
      </c>
      <c r="D30" s="201">
        <v>1074</v>
      </c>
      <c r="E30" s="101"/>
      <c r="F30" s="101"/>
      <c r="G30" s="101">
        <f>+B30</f>
        <v>-550</v>
      </c>
      <c r="H30" s="101"/>
      <c r="I30" s="101"/>
      <c r="J30" s="101"/>
      <c r="K30" s="101"/>
      <c r="L30" s="101"/>
      <c r="M30" s="101"/>
      <c r="N30" s="101">
        <f t="shared" si="1"/>
        <v>28484.459999999959</v>
      </c>
    </row>
    <row r="31" spans="1:15" x14ac:dyDescent="0.35">
      <c r="A31" s="105">
        <v>44764</v>
      </c>
      <c r="B31" s="101">
        <v>-86.08</v>
      </c>
      <c r="C31" s="101" t="s">
        <v>5</v>
      </c>
      <c r="D31" s="201" t="s">
        <v>154</v>
      </c>
      <c r="E31" s="101"/>
      <c r="F31" s="101">
        <f>+B31</f>
        <v>-86.08</v>
      </c>
      <c r="G31" s="101"/>
      <c r="H31" s="101"/>
      <c r="I31" s="101"/>
      <c r="J31" s="101"/>
      <c r="K31" s="101"/>
      <c r="L31" s="101"/>
      <c r="M31" s="101"/>
      <c r="N31" s="101">
        <f t="shared" si="1"/>
        <v>28398.379999999957</v>
      </c>
    </row>
    <row r="32" spans="1:15" x14ac:dyDescent="0.35">
      <c r="A32" s="105">
        <v>44768</v>
      </c>
      <c r="B32" s="101">
        <v>-550</v>
      </c>
      <c r="C32" s="101" t="s">
        <v>269</v>
      </c>
      <c r="D32" s="201">
        <v>1077</v>
      </c>
      <c r="E32" s="101"/>
      <c r="F32" s="101"/>
      <c r="G32" s="101">
        <f>+B32</f>
        <v>-550</v>
      </c>
      <c r="H32" s="101"/>
      <c r="I32" s="101"/>
      <c r="J32" s="101"/>
      <c r="K32" s="101"/>
      <c r="L32" s="101"/>
      <c r="M32" s="101"/>
      <c r="N32" s="112">
        <f t="shared" si="1"/>
        <v>27848.379999999957</v>
      </c>
      <c r="O32" s="365" t="s">
        <v>354</v>
      </c>
    </row>
    <row r="33" spans="1:15" x14ac:dyDescent="0.35">
      <c r="A33" s="105">
        <v>44774</v>
      </c>
      <c r="B33" s="101">
        <v>-4</v>
      </c>
      <c r="C33" s="101" t="s">
        <v>86</v>
      </c>
      <c r="D33" s="201" t="s">
        <v>154</v>
      </c>
      <c r="E33" s="101"/>
      <c r="F33" s="101"/>
      <c r="G33" s="101"/>
      <c r="H33" s="101"/>
      <c r="I33" s="101"/>
      <c r="J33" s="101">
        <f>+B33</f>
        <v>-4</v>
      </c>
      <c r="K33" s="101"/>
      <c r="L33" s="101"/>
      <c r="M33" s="101"/>
      <c r="N33" s="101">
        <f t="shared" si="0"/>
        <v>27844.379999999957</v>
      </c>
      <c r="O33" s="365"/>
    </row>
    <row r="34" spans="1:15" x14ac:dyDescent="0.35">
      <c r="A34" s="105">
        <v>44785</v>
      </c>
      <c r="B34" s="101">
        <v>1290</v>
      </c>
      <c r="C34" s="101" t="s">
        <v>78</v>
      </c>
      <c r="D34" s="201" t="s">
        <v>259</v>
      </c>
      <c r="E34" s="101">
        <f>+B34</f>
        <v>1290</v>
      </c>
      <c r="F34" s="101"/>
      <c r="G34" s="101"/>
      <c r="H34" s="101"/>
      <c r="I34" s="101"/>
      <c r="J34" s="101"/>
      <c r="K34" s="101"/>
      <c r="L34" s="101"/>
      <c r="M34" s="101"/>
      <c r="N34" s="101">
        <f t="shared" si="0"/>
        <v>29134.379999999957</v>
      </c>
      <c r="O34" s="365"/>
    </row>
    <row r="35" spans="1:15" x14ac:dyDescent="0.35">
      <c r="A35" s="105">
        <v>44792</v>
      </c>
      <c r="B35" s="101">
        <v>-550</v>
      </c>
      <c r="C35" s="101" t="s">
        <v>269</v>
      </c>
      <c r="D35" s="201">
        <v>1080</v>
      </c>
      <c r="E35" s="101"/>
      <c r="F35" s="101"/>
      <c r="G35" s="101">
        <f>+B35</f>
        <v>-550</v>
      </c>
      <c r="H35" s="101"/>
      <c r="I35" s="101"/>
      <c r="J35" s="101"/>
      <c r="K35" s="101"/>
      <c r="L35" s="101"/>
      <c r="M35" s="101"/>
      <c r="N35" s="101">
        <f t="shared" si="0"/>
        <v>28584.379999999957</v>
      </c>
    </row>
    <row r="36" spans="1:15" x14ac:dyDescent="0.35">
      <c r="A36" s="105">
        <v>44795</v>
      </c>
      <c r="B36" s="101">
        <v>-20</v>
      </c>
      <c r="C36" s="101" t="s">
        <v>413</v>
      </c>
      <c r="D36" s="201">
        <v>1079</v>
      </c>
      <c r="E36" s="101"/>
      <c r="F36" s="101"/>
      <c r="G36" s="101"/>
      <c r="H36" s="101"/>
      <c r="I36" s="101"/>
      <c r="J36" s="101"/>
      <c r="K36" s="101"/>
      <c r="L36" s="101">
        <f>+B36</f>
        <v>-20</v>
      </c>
      <c r="M36" s="101" t="s">
        <v>412</v>
      </c>
      <c r="N36" s="101">
        <f t="shared" si="0"/>
        <v>28564.379999999957</v>
      </c>
    </row>
    <row r="37" spans="1:15" x14ac:dyDescent="0.35">
      <c r="A37" s="105">
        <v>44797</v>
      </c>
      <c r="B37" s="101">
        <v>-86.08</v>
      </c>
      <c r="C37" s="101" t="s">
        <v>5</v>
      </c>
      <c r="D37" s="201" t="s">
        <v>154</v>
      </c>
      <c r="E37" s="101"/>
      <c r="F37" s="101">
        <f>+B37</f>
        <v>-86.08</v>
      </c>
      <c r="G37" s="101"/>
      <c r="H37" s="101"/>
      <c r="I37" s="101"/>
      <c r="J37" s="101"/>
      <c r="K37" s="101"/>
      <c r="L37" s="101"/>
      <c r="M37" s="101"/>
      <c r="N37" s="112">
        <f t="shared" si="0"/>
        <v>28478.299999999956</v>
      </c>
      <c r="O37" s="365" t="s">
        <v>363</v>
      </c>
    </row>
    <row r="38" spans="1:15" x14ac:dyDescent="0.35">
      <c r="A38" s="105">
        <v>44805</v>
      </c>
      <c r="B38" s="101">
        <v>-4</v>
      </c>
      <c r="C38" s="101" t="s">
        <v>86</v>
      </c>
      <c r="D38" s="201" t="s">
        <v>154</v>
      </c>
      <c r="E38" s="101"/>
      <c r="F38" s="101"/>
      <c r="G38" s="101"/>
      <c r="H38" s="101"/>
      <c r="I38" s="101"/>
      <c r="J38" s="101">
        <f>+B38</f>
        <v>-4</v>
      </c>
      <c r="K38" s="101"/>
      <c r="L38" s="101"/>
      <c r="M38" s="101"/>
      <c r="N38" s="101">
        <f t="shared" si="0"/>
        <v>28474.299999999956</v>
      </c>
    </row>
    <row r="39" spans="1:15" x14ac:dyDescent="0.35">
      <c r="A39" s="105">
        <v>44810</v>
      </c>
      <c r="B39" s="101">
        <v>-405.3</v>
      </c>
      <c r="C39" s="101" t="s">
        <v>16</v>
      </c>
      <c r="D39" s="201" t="s">
        <v>154</v>
      </c>
      <c r="E39" s="101"/>
      <c r="F39" s="101"/>
      <c r="G39" s="101"/>
      <c r="H39" s="101">
        <f>+B39</f>
        <v>-405.3</v>
      </c>
      <c r="I39" s="101"/>
      <c r="J39" s="101"/>
      <c r="K39" s="101"/>
      <c r="L39" s="101"/>
      <c r="M39" s="101"/>
      <c r="N39" s="101">
        <f t="shared" si="0"/>
        <v>28068.999999999956</v>
      </c>
      <c r="O39" s="365"/>
    </row>
    <row r="40" spans="1:15" x14ac:dyDescent="0.35">
      <c r="A40" s="105">
        <v>44826</v>
      </c>
      <c r="B40" s="101">
        <v>-86.08</v>
      </c>
      <c r="C40" s="101" t="s">
        <v>5</v>
      </c>
      <c r="D40" s="201" t="s">
        <v>154</v>
      </c>
      <c r="E40" s="101"/>
      <c r="F40" s="101">
        <f>+B40</f>
        <v>-86.08</v>
      </c>
      <c r="G40" s="101"/>
      <c r="H40" s="101"/>
      <c r="I40" s="101"/>
      <c r="J40" s="101"/>
      <c r="K40" s="101"/>
      <c r="L40" s="101"/>
      <c r="M40" s="101"/>
      <c r="N40" s="112">
        <f t="shared" si="0"/>
        <v>27982.919999999955</v>
      </c>
      <c r="O40" s="365" t="s">
        <v>365</v>
      </c>
    </row>
    <row r="41" spans="1:15" x14ac:dyDescent="0.35">
      <c r="A41" s="105">
        <v>44835</v>
      </c>
      <c r="B41" s="101">
        <v>-4</v>
      </c>
      <c r="C41" s="101" t="s">
        <v>86</v>
      </c>
      <c r="D41" s="201" t="s">
        <v>154</v>
      </c>
      <c r="E41" s="101"/>
      <c r="F41" s="101"/>
      <c r="G41" s="101"/>
      <c r="H41" s="101"/>
      <c r="I41" s="101"/>
      <c r="J41" s="101">
        <f>+B41</f>
        <v>-4</v>
      </c>
      <c r="K41" s="101"/>
      <c r="L41" s="101"/>
      <c r="M41" s="101"/>
      <c r="N41" s="101">
        <f t="shared" si="0"/>
        <v>27978.919999999955</v>
      </c>
      <c r="O41" s="365"/>
    </row>
    <row r="42" spans="1:15" x14ac:dyDescent="0.35">
      <c r="A42" s="105">
        <v>44839</v>
      </c>
      <c r="B42" s="101">
        <v>-500</v>
      </c>
      <c r="C42" s="101" t="s">
        <v>16</v>
      </c>
      <c r="D42" s="201">
        <v>1081</v>
      </c>
      <c r="E42" s="101"/>
      <c r="F42" s="101"/>
      <c r="G42" s="101"/>
      <c r="H42" s="101"/>
      <c r="I42" s="101"/>
      <c r="J42" s="101"/>
      <c r="K42" s="101"/>
      <c r="L42" s="101">
        <f>+B42</f>
        <v>-500</v>
      </c>
      <c r="M42" s="101" t="s">
        <v>406</v>
      </c>
      <c r="N42" s="101">
        <f t="shared" si="0"/>
        <v>27478.919999999955</v>
      </c>
    </row>
    <row r="43" spans="1:15" x14ac:dyDescent="0.35">
      <c r="A43" s="105">
        <v>44841</v>
      </c>
      <c r="B43" s="101">
        <v>-550</v>
      </c>
      <c r="C43" s="101" t="s">
        <v>269</v>
      </c>
      <c r="D43" s="201">
        <v>1082</v>
      </c>
      <c r="E43" s="101"/>
      <c r="F43" s="101"/>
      <c r="G43" s="101">
        <f>+B43</f>
        <v>-550</v>
      </c>
      <c r="H43" s="101"/>
      <c r="I43" s="101"/>
      <c r="J43" s="101"/>
      <c r="K43" s="101"/>
      <c r="L43" s="101"/>
      <c r="M43" s="101"/>
      <c r="N43" s="101">
        <f t="shared" si="0"/>
        <v>26928.919999999955</v>
      </c>
    </row>
    <row r="44" spans="1:15" x14ac:dyDescent="0.35">
      <c r="A44" s="105">
        <v>44858</v>
      </c>
      <c r="B44" s="101">
        <v>-86.08</v>
      </c>
      <c r="C44" s="101" t="s">
        <v>5</v>
      </c>
      <c r="D44" s="201" t="s">
        <v>154</v>
      </c>
      <c r="E44" s="101"/>
      <c r="F44" s="101">
        <f>+B44</f>
        <v>-86.08</v>
      </c>
      <c r="G44" s="101"/>
      <c r="H44" s="101"/>
      <c r="I44" s="101"/>
      <c r="J44" s="101"/>
      <c r="K44" s="101"/>
      <c r="L44" s="101"/>
      <c r="M44" s="101"/>
      <c r="N44" s="112">
        <f t="shared" si="0"/>
        <v>26842.839999999953</v>
      </c>
      <c r="O44" s="365" t="s">
        <v>366</v>
      </c>
    </row>
    <row r="45" spans="1:15" x14ac:dyDescent="0.35">
      <c r="A45" s="105">
        <v>44866</v>
      </c>
      <c r="B45" s="101">
        <v>-4</v>
      </c>
      <c r="C45" s="101" t="s">
        <v>86</v>
      </c>
      <c r="D45" s="201" t="s">
        <v>154</v>
      </c>
      <c r="E45" s="101"/>
      <c r="F45" s="101"/>
      <c r="G45" s="101"/>
      <c r="H45" s="101"/>
      <c r="I45" s="101"/>
      <c r="J45" s="101">
        <f>+B45</f>
        <v>-4</v>
      </c>
      <c r="K45" s="101"/>
      <c r="L45" s="101"/>
      <c r="M45" s="101"/>
      <c r="N45" s="101">
        <f t="shared" si="0"/>
        <v>26838.839999999953</v>
      </c>
      <c r="O45" s="365"/>
    </row>
    <row r="46" spans="1:15" x14ac:dyDescent="0.35">
      <c r="A46" s="105">
        <v>44872</v>
      </c>
      <c r="B46" s="101">
        <v>430</v>
      </c>
      <c r="C46" s="101" t="s">
        <v>78</v>
      </c>
      <c r="D46" s="201" t="s">
        <v>259</v>
      </c>
      <c r="E46" s="101">
        <f>+B46</f>
        <v>430</v>
      </c>
      <c r="F46" s="101"/>
      <c r="G46" s="101"/>
      <c r="H46" s="101"/>
      <c r="I46" s="101"/>
      <c r="J46" s="101"/>
      <c r="K46" s="101"/>
      <c r="L46" s="101"/>
      <c r="M46" s="101"/>
      <c r="N46" s="101">
        <f t="shared" si="0"/>
        <v>27268.839999999953</v>
      </c>
    </row>
    <row r="47" spans="1:15" x14ac:dyDescent="0.35">
      <c r="A47" s="105">
        <v>44881</v>
      </c>
      <c r="B47" s="101">
        <v>-550</v>
      </c>
      <c r="C47" s="101" t="s">
        <v>269</v>
      </c>
      <c r="D47" s="201">
        <v>1083</v>
      </c>
      <c r="E47" s="101"/>
      <c r="F47" s="101"/>
      <c r="G47" s="101">
        <f>+B47</f>
        <v>-550</v>
      </c>
      <c r="H47" s="101"/>
      <c r="I47" s="101"/>
      <c r="J47" s="101"/>
      <c r="K47" s="101"/>
      <c r="L47" s="101"/>
      <c r="M47" s="101"/>
      <c r="N47" s="101">
        <f t="shared" si="0"/>
        <v>26718.839999999953</v>
      </c>
    </row>
    <row r="48" spans="1:15" x14ac:dyDescent="0.35">
      <c r="A48" s="105">
        <v>44881</v>
      </c>
      <c r="B48" s="101">
        <v>-550</v>
      </c>
      <c r="C48" s="101" t="s">
        <v>269</v>
      </c>
      <c r="D48" s="201">
        <v>1084</v>
      </c>
      <c r="E48" s="101"/>
      <c r="F48" s="101"/>
      <c r="G48" s="101">
        <f>+B48</f>
        <v>-550</v>
      </c>
      <c r="H48" s="101"/>
      <c r="I48" s="101"/>
      <c r="J48" s="101"/>
      <c r="K48" s="101"/>
      <c r="L48" s="101"/>
      <c r="M48" s="101"/>
      <c r="N48" s="101">
        <f t="shared" si="0"/>
        <v>26168.839999999953</v>
      </c>
      <c r="O48" s="365"/>
    </row>
    <row r="49" spans="1:15" x14ac:dyDescent="0.35">
      <c r="A49" s="105">
        <v>44888</v>
      </c>
      <c r="B49" s="101">
        <v>-86.08</v>
      </c>
      <c r="C49" s="101" t="s">
        <v>5</v>
      </c>
      <c r="D49" s="201" t="s">
        <v>154</v>
      </c>
      <c r="E49" s="101"/>
      <c r="F49" s="101">
        <f>+B49</f>
        <v>-86.08</v>
      </c>
      <c r="G49" s="101"/>
      <c r="H49" s="101"/>
      <c r="I49" s="101"/>
      <c r="J49" s="101"/>
      <c r="K49" s="101"/>
      <c r="L49" s="101"/>
      <c r="M49" s="101"/>
      <c r="N49" s="112">
        <f t="shared" si="0"/>
        <v>26082.759999999951</v>
      </c>
      <c r="O49" s="365" t="s">
        <v>367</v>
      </c>
    </row>
    <row r="50" spans="1:15" x14ac:dyDescent="0.35">
      <c r="A50" s="105"/>
      <c r="B50" s="101"/>
      <c r="C50" s="414"/>
      <c r="D50" s="201"/>
      <c r="G50" s="101"/>
      <c r="H50" s="101"/>
      <c r="L50" s="101"/>
      <c r="M50" s="101"/>
      <c r="N50" s="101">
        <f t="shared" si="0"/>
        <v>26082.759999999951</v>
      </c>
    </row>
    <row r="51" spans="1:15" x14ac:dyDescent="0.35">
      <c r="A51" s="105"/>
      <c r="B51" s="101"/>
      <c r="C51" s="101"/>
      <c r="D51" s="201"/>
      <c r="E51" s="101"/>
      <c r="F51" s="101"/>
      <c r="G51" s="101"/>
      <c r="H51" s="101"/>
      <c r="I51" s="101"/>
      <c r="J51" s="101"/>
      <c r="K51" s="101"/>
      <c r="L51" s="101"/>
      <c r="M51" s="101"/>
      <c r="N51" s="101">
        <f t="shared" si="0"/>
        <v>26082.759999999951</v>
      </c>
    </row>
    <row r="52" spans="1:15" x14ac:dyDescent="0.35">
      <c r="A52" s="105"/>
      <c r="B52" s="101"/>
      <c r="C52" s="101"/>
      <c r="D52" s="201"/>
      <c r="E52" s="101"/>
      <c r="F52" s="101"/>
      <c r="G52" s="101"/>
      <c r="H52" s="101"/>
      <c r="I52" s="101"/>
      <c r="J52" s="101"/>
      <c r="K52" s="101"/>
      <c r="L52" s="101"/>
      <c r="M52" s="101"/>
      <c r="N52" s="101">
        <f t="shared" si="0"/>
        <v>26082.759999999951</v>
      </c>
      <c r="O52" s="365"/>
    </row>
    <row r="53" spans="1:15" x14ac:dyDescent="0.35">
      <c r="A53" s="105"/>
      <c r="B53" s="101"/>
      <c r="C53" s="101"/>
      <c r="D53" s="201"/>
      <c r="E53" s="101"/>
      <c r="F53" s="101"/>
      <c r="G53" s="101"/>
      <c r="H53" s="101"/>
      <c r="I53" s="101"/>
      <c r="J53" s="101"/>
      <c r="K53" s="101"/>
      <c r="L53" s="101"/>
      <c r="M53" s="101"/>
      <c r="N53" s="101">
        <f t="shared" si="0"/>
        <v>26082.759999999951</v>
      </c>
    </row>
    <row r="54" spans="1:15" x14ac:dyDescent="0.35">
      <c r="A54" s="105"/>
      <c r="B54" s="101"/>
      <c r="C54" s="101"/>
      <c r="D54" s="342"/>
      <c r="E54" s="101"/>
      <c r="F54" s="101"/>
      <c r="G54" s="101"/>
      <c r="H54" s="101"/>
      <c r="I54" s="101"/>
      <c r="J54" s="101"/>
      <c r="K54" s="101"/>
      <c r="L54" s="101"/>
      <c r="M54" s="101"/>
      <c r="N54" s="101">
        <f t="shared" si="0"/>
        <v>26082.759999999951</v>
      </c>
    </row>
    <row r="55" spans="1:15" x14ac:dyDescent="0.35">
      <c r="A55" s="105"/>
      <c r="B55" s="101"/>
      <c r="C55" s="101"/>
      <c r="D55" s="201"/>
      <c r="E55" s="101"/>
      <c r="F55" s="101"/>
      <c r="G55" s="101"/>
      <c r="H55" s="101"/>
      <c r="I55" s="101"/>
      <c r="J55" s="101"/>
      <c r="K55" s="101"/>
      <c r="L55" s="101"/>
      <c r="M55" s="101"/>
      <c r="N55" s="101">
        <f t="shared" si="0"/>
        <v>26082.759999999951</v>
      </c>
    </row>
    <row r="56" spans="1:15" x14ac:dyDescent="0.35">
      <c r="A56" s="105"/>
      <c r="B56" s="101"/>
      <c r="C56" s="101"/>
      <c r="D56" s="201"/>
      <c r="E56" s="101"/>
      <c r="F56" s="101"/>
      <c r="G56" s="101"/>
      <c r="H56" s="101"/>
      <c r="I56" s="101"/>
      <c r="J56" s="101"/>
      <c r="K56" s="101"/>
      <c r="L56" s="101"/>
      <c r="M56" s="101"/>
      <c r="N56" s="101">
        <f t="shared" si="0"/>
        <v>26082.759999999951</v>
      </c>
    </row>
    <row r="57" spans="1:15" x14ac:dyDescent="0.35">
      <c r="A57" s="105"/>
      <c r="B57" s="101"/>
      <c r="C57" s="101"/>
      <c r="D57" s="201"/>
      <c r="E57" s="101"/>
      <c r="F57" s="101"/>
      <c r="G57" s="101"/>
      <c r="H57" s="101"/>
      <c r="I57" s="101"/>
      <c r="J57" s="101"/>
      <c r="K57" s="101"/>
      <c r="L57" s="101"/>
      <c r="M57" s="101"/>
      <c r="N57" s="101">
        <f t="shared" si="0"/>
        <v>26082.759999999951</v>
      </c>
      <c r="O57" s="365"/>
    </row>
    <row r="58" spans="1:15" x14ac:dyDescent="0.35">
      <c r="A58" s="105"/>
      <c r="B58" s="101"/>
      <c r="C58" s="101"/>
      <c r="D58" s="148"/>
      <c r="E58" s="101"/>
      <c r="F58" s="101"/>
      <c r="G58" s="101"/>
      <c r="H58" s="101"/>
      <c r="I58" s="101"/>
      <c r="J58" s="101"/>
      <c r="K58" s="101"/>
      <c r="L58" s="101"/>
      <c r="M58" s="101"/>
      <c r="N58" s="101"/>
    </row>
    <row r="59" spans="1:15" x14ac:dyDescent="0.35">
      <c r="B59" s="101">
        <f>SUM(B6:B58)</f>
        <v>3376.6100000000006</v>
      </c>
      <c r="C59" s="101"/>
      <c r="D59" s="101"/>
      <c r="E59" s="101">
        <f t="shared" ref="E59:K59" si="2">SUM(E6:E58)</f>
        <v>13760</v>
      </c>
      <c r="F59" s="101">
        <f t="shared" si="2"/>
        <v>-946.88000000000022</v>
      </c>
      <c r="G59" s="101">
        <f t="shared" si="2"/>
        <v>-6600</v>
      </c>
      <c r="H59" s="101">
        <f t="shared" si="2"/>
        <v>-1163.51</v>
      </c>
      <c r="I59" s="101">
        <f t="shared" si="2"/>
        <v>0</v>
      </c>
      <c r="J59" s="101">
        <f t="shared" si="2"/>
        <v>-44</v>
      </c>
      <c r="K59" s="101">
        <f t="shared" si="2"/>
        <v>0</v>
      </c>
      <c r="L59" s="101">
        <f>SUM(L6:L58)</f>
        <v>-1629</v>
      </c>
      <c r="M59" s="112">
        <f>SUM(E59:L59)</f>
        <v>3376.6099999999988</v>
      </c>
      <c r="N59" s="112" t="s">
        <v>390</v>
      </c>
    </row>
    <row r="60" spans="1:15" x14ac:dyDescent="0.35">
      <c r="B60" s="101"/>
      <c r="C60" s="106" t="s">
        <v>90</v>
      </c>
      <c r="D60" s="106"/>
      <c r="E60" s="107">
        <v>430</v>
      </c>
      <c r="F60" s="107"/>
      <c r="G60" s="107"/>
      <c r="H60" s="101"/>
      <c r="I60" s="101"/>
      <c r="J60" s="101"/>
      <c r="K60" s="101"/>
      <c r="L60" s="101"/>
      <c r="M60" s="101"/>
      <c r="N60" s="101"/>
    </row>
    <row r="61" spans="1:15" x14ac:dyDescent="0.35">
      <c r="B61" s="101"/>
      <c r="C61" s="106" t="s">
        <v>89</v>
      </c>
      <c r="D61" s="106"/>
      <c r="E61" s="149">
        <f>+E59/E60</f>
        <v>32</v>
      </c>
      <c r="F61" s="149"/>
      <c r="G61" s="150"/>
      <c r="H61" s="101"/>
      <c r="I61" s="101"/>
      <c r="J61" s="101"/>
      <c r="K61" s="101"/>
      <c r="L61" s="101"/>
      <c r="M61" s="101"/>
      <c r="N61" s="101"/>
    </row>
    <row r="62" spans="1:15" x14ac:dyDescent="0.35">
      <c r="C62" s="106" t="s">
        <v>117</v>
      </c>
      <c r="D62" s="106"/>
      <c r="E62" s="151">
        <v>32</v>
      </c>
      <c r="N62" s="101"/>
    </row>
    <row r="63" spans="1:15" x14ac:dyDescent="0.35">
      <c r="C63" s="106" t="s">
        <v>118</v>
      </c>
      <c r="D63" s="106"/>
      <c r="E63" s="150">
        <f>+E61-E62</f>
        <v>0</v>
      </c>
    </row>
  </sheetData>
  <pageMargins left="0.7" right="0.7" top="0.5" bottom="0.25" header="0.3" footer="0.3"/>
  <pageSetup scale="54" orientation="landscape" horizontalDpi="4294967293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2AD5E2-27E8-494D-BD35-178A53E29ABE}">
  <sheetPr>
    <tabColor theme="7" tint="-0.249977111117893"/>
    <pageSetUpPr fitToPage="1"/>
  </sheetPr>
  <dimension ref="A1:P42"/>
  <sheetViews>
    <sheetView tabSelected="1" zoomScale="89" zoomScaleNormal="89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R23" sqref="R23"/>
    </sheetView>
  </sheetViews>
  <sheetFormatPr defaultColWidth="8.6328125" defaultRowHeight="15.5" x14ac:dyDescent="0.35"/>
  <cols>
    <col min="1" max="1" width="14.6328125" style="1" customWidth="1"/>
    <col min="2" max="2" width="31.36328125" style="1" customWidth="1"/>
    <col min="3" max="3" width="12.54296875" style="1" hidden="1" customWidth="1"/>
    <col min="4" max="4" width="12.54296875" style="1" customWidth="1"/>
    <col min="5" max="7" width="11.36328125" style="9" customWidth="1"/>
    <col min="8" max="16" width="11.36328125" style="1" customWidth="1"/>
    <col min="17" max="16384" width="8.6328125" style="1"/>
  </cols>
  <sheetData>
    <row r="1" spans="1:16" ht="31.5" customHeight="1" thickBot="1" x14ac:dyDescent="0.4">
      <c r="A1" s="538" t="s">
        <v>54</v>
      </c>
      <c r="B1" s="539"/>
      <c r="C1" s="465" t="s">
        <v>387</v>
      </c>
      <c r="D1" s="460">
        <v>2022</v>
      </c>
      <c r="E1" s="204" t="s">
        <v>31</v>
      </c>
      <c r="F1" s="204" t="s">
        <v>32</v>
      </c>
      <c r="G1" s="204" t="s">
        <v>33</v>
      </c>
      <c r="H1" s="15" t="s">
        <v>34</v>
      </c>
      <c r="I1" s="15" t="s">
        <v>35</v>
      </c>
      <c r="J1" s="15" t="s">
        <v>36</v>
      </c>
      <c r="K1" s="15" t="s">
        <v>37</v>
      </c>
      <c r="L1" s="15" t="s">
        <v>38</v>
      </c>
      <c r="M1" s="15" t="s">
        <v>39</v>
      </c>
      <c r="N1" s="15" t="s">
        <v>40</v>
      </c>
      <c r="O1" s="15" t="s">
        <v>51</v>
      </c>
      <c r="P1" s="431" t="s">
        <v>52</v>
      </c>
    </row>
    <row r="2" spans="1:16" x14ac:dyDescent="0.35">
      <c r="A2" s="37" t="s">
        <v>355</v>
      </c>
      <c r="B2" s="38"/>
      <c r="C2" s="466">
        <f>+'2021 ByMo'!D26</f>
        <v>22706.149999999998</v>
      </c>
      <c r="D2" s="344">
        <f>+C2</f>
        <v>22706.149999999998</v>
      </c>
      <c r="E2" s="456">
        <f>+C2</f>
        <v>22706.149999999998</v>
      </c>
      <c r="F2" s="272">
        <f>+E25</f>
        <v>21516.07</v>
      </c>
      <c r="G2" s="272">
        <f t="shared" ref="G2:P2" si="0">+F25</f>
        <v>20677.989999999998</v>
      </c>
      <c r="H2" s="272">
        <f t="shared" si="0"/>
        <v>19609.899999999998</v>
      </c>
      <c r="I2" s="272">
        <f t="shared" si="0"/>
        <v>28979.819999999996</v>
      </c>
      <c r="J2" s="272">
        <f t="shared" si="0"/>
        <v>30369.739999999998</v>
      </c>
      <c r="K2" s="272">
        <f t="shared" si="0"/>
        <v>29038.46</v>
      </c>
      <c r="L2" s="272">
        <f t="shared" si="0"/>
        <v>27848.379999999997</v>
      </c>
      <c r="M2" s="272">
        <f t="shared" si="0"/>
        <v>28478.299999999996</v>
      </c>
      <c r="N2" s="272">
        <f t="shared" si="0"/>
        <v>27982.919999999995</v>
      </c>
      <c r="O2" s="272">
        <f t="shared" si="0"/>
        <v>26842.839999999997</v>
      </c>
      <c r="P2" s="432">
        <f t="shared" si="0"/>
        <v>26082.759999999995</v>
      </c>
    </row>
    <row r="3" spans="1:16" ht="5" customHeight="1" x14ac:dyDescent="0.35">
      <c r="A3" s="3"/>
      <c r="B3" s="6"/>
      <c r="C3" s="370"/>
      <c r="D3" s="32"/>
      <c r="E3" s="51"/>
      <c r="F3" s="57"/>
      <c r="G3" s="57"/>
      <c r="H3" s="57"/>
      <c r="I3" s="27"/>
      <c r="J3" s="27"/>
      <c r="K3" s="27"/>
      <c r="L3" s="27"/>
      <c r="M3" s="27"/>
      <c r="N3" s="27"/>
      <c r="O3" s="27"/>
      <c r="P3" s="27"/>
    </row>
    <row r="4" spans="1:16" x14ac:dyDescent="0.35">
      <c r="A4" s="24" t="s">
        <v>44</v>
      </c>
      <c r="B4" s="210" t="s">
        <v>174</v>
      </c>
      <c r="C4" s="467">
        <v>32</v>
      </c>
      <c r="D4" s="367">
        <f>SUM(E4:P4)</f>
        <v>32</v>
      </c>
      <c r="E4" s="457">
        <v>0</v>
      </c>
      <c r="F4" s="362">
        <v>0</v>
      </c>
      <c r="G4" s="362">
        <v>0</v>
      </c>
      <c r="H4" s="362">
        <v>22</v>
      </c>
      <c r="I4" s="366">
        <v>6</v>
      </c>
      <c r="J4" s="366">
        <v>0</v>
      </c>
      <c r="K4" s="366">
        <v>0</v>
      </c>
      <c r="L4" s="366">
        <v>3</v>
      </c>
      <c r="M4" s="366">
        <v>0</v>
      </c>
      <c r="N4" s="366">
        <v>0</v>
      </c>
      <c r="O4" s="366">
        <v>1</v>
      </c>
      <c r="P4" s="366">
        <v>0</v>
      </c>
    </row>
    <row r="5" spans="1:16" x14ac:dyDescent="0.35">
      <c r="A5" s="1" t="s">
        <v>175</v>
      </c>
      <c r="B5" s="283">
        <v>430</v>
      </c>
      <c r="C5" s="468">
        <v>13760</v>
      </c>
      <c r="D5" s="33">
        <f>SUM(E5:P5)</f>
        <v>13760</v>
      </c>
      <c r="E5" s="458">
        <f>+E4*$B5</f>
        <v>0</v>
      </c>
      <c r="F5" s="56">
        <f t="shared" ref="F5:P5" si="1">+F4*$B5</f>
        <v>0</v>
      </c>
      <c r="G5" s="53">
        <f t="shared" si="1"/>
        <v>0</v>
      </c>
      <c r="H5" s="53">
        <f t="shared" si="1"/>
        <v>9460</v>
      </c>
      <c r="I5" s="53">
        <f t="shared" si="1"/>
        <v>2580</v>
      </c>
      <c r="J5" s="53">
        <f t="shared" si="1"/>
        <v>0</v>
      </c>
      <c r="K5" s="53">
        <f t="shared" si="1"/>
        <v>0</v>
      </c>
      <c r="L5" s="53">
        <f t="shared" si="1"/>
        <v>1290</v>
      </c>
      <c r="M5" s="53">
        <f t="shared" si="1"/>
        <v>0</v>
      </c>
      <c r="N5" s="53">
        <f t="shared" si="1"/>
        <v>0</v>
      </c>
      <c r="O5" s="53">
        <f t="shared" si="1"/>
        <v>430</v>
      </c>
      <c r="P5" s="53">
        <f t="shared" si="1"/>
        <v>0</v>
      </c>
    </row>
    <row r="6" spans="1:16" x14ac:dyDescent="0.35">
      <c r="A6" s="95" t="s">
        <v>49</v>
      </c>
      <c r="C6" s="469">
        <f>+C5</f>
        <v>13760</v>
      </c>
      <c r="D6" s="32">
        <f>SUM(E6:P6)</f>
        <v>13760</v>
      </c>
      <c r="E6" s="51">
        <f t="shared" ref="E6:P6" si="2">SUM(E5:E5)</f>
        <v>0</v>
      </c>
      <c r="F6" s="57">
        <f t="shared" si="2"/>
        <v>0</v>
      </c>
      <c r="G6" s="57">
        <f t="shared" si="2"/>
        <v>0</v>
      </c>
      <c r="H6" s="57">
        <f t="shared" si="2"/>
        <v>9460</v>
      </c>
      <c r="I6" s="57">
        <f t="shared" si="2"/>
        <v>2580</v>
      </c>
      <c r="J6" s="57">
        <f t="shared" si="2"/>
        <v>0</v>
      </c>
      <c r="K6" s="57">
        <f t="shared" si="2"/>
        <v>0</v>
      </c>
      <c r="L6" s="57">
        <f t="shared" si="2"/>
        <v>1290</v>
      </c>
      <c r="M6" s="57">
        <f t="shared" si="2"/>
        <v>0</v>
      </c>
      <c r="N6" s="57">
        <f t="shared" si="2"/>
        <v>0</v>
      </c>
      <c r="O6" s="57">
        <f t="shared" si="2"/>
        <v>430</v>
      </c>
      <c r="P6" s="57">
        <f t="shared" si="2"/>
        <v>0</v>
      </c>
    </row>
    <row r="7" spans="1:16" ht="5" customHeight="1" x14ac:dyDescent="0.35">
      <c r="C7" s="370"/>
      <c r="D7" s="32"/>
      <c r="E7" s="51"/>
      <c r="F7" s="57"/>
      <c r="G7" s="57"/>
      <c r="H7" s="27"/>
      <c r="I7" s="27"/>
      <c r="J7" s="27"/>
      <c r="K7" s="27"/>
      <c r="L7" s="27"/>
      <c r="M7" s="27"/>
      <c r="N7" s="27"/>
      <c r="O7" s="27"/>
      <c r="P7" s="27"/>
    </row>
    <row r="8" spans="1:16" x14ac:dyDescent="0.35">
      <c r="A8" s="24" t="s">
        <v>3</v>
      </c>
      <c r="C8" s="370"/>
      <c r="D8" s="32"/>
      <c r="E8" s="51"/>
      <c r="F8" s="57"/>
      <c r="G8" s="57"/>
      <c r="H8" s="27"/>
      <c r="I8" s="27"/>
      <c r="J8" s="27"/>
      <c r="K8" s="27"/>
      <c r="L8" s="27"/>
      <c r="M8" s="27"/>
      <c r="N8" s="27"/>
      <c r="O8" s="27"/>
      <c r="P8" s="27"/>
    </row>
    <row r="9" spans="1:16" x14ac:dyDescent="0.35">
      <c r="A9" s="1" t="s">
        <v>272</v>
      </c>
      <c r="B9" s="1" t="s">
        <v>273</v>
      </c>
      <c r="C9" s="370">
        <v>7360</v>
      </c>
      <c r="D9" s="461">
        <f t="shared" ref="D9:D22" si="3">SUM(E9:P9)</f>
        <v>7150</v>
      </c>
      <c r="E9" s="51">
        <v>1100</v>
      </c>
      <c r="F9" s="51">
        <v>550</v>
      </c>
      <c r="G9" s="51">
        <v>550</v>
      </c>
      <c r="H9" s="51">
        <v>0</v>
      </c>
      <c r="I9" s="51">
        <v>1100</v>
      </c>
      <c r="J9" s="51">
        <v>0</v>
      </c>
      <c r="K9" s="51">
        <v>1100</v>
      </c>
      <c r="L9" s="51">
        <v>550</v>
      </c>
      <c r="M9" s="51"/>
      <c r="N9" s="51">
        <v>550</v>
      </c>
      <c r="O9" s="51">
        <v>1100</v>
      </c>
      <c r="P9" s="433">
        <v>550</v>
      </c>
    </row>
    <row r="10" spans="1:16" x14ac:dyDescent="0.35">
      <c r="B10" s="1" t="s">
        <v>277</v>
      </c>
      <c r="C10" s="370">
        <v>1584</v>
      </c>
      <c r="D10" s="462">
        <f t="shared" si="3"/>
        <v>285.89</v>
      </c>
      <c r="E10" s="51"/>
      <c r="F10" s="57"/>
      <c r="G10" s="57"/>
      <c r="H10" s="57"/>
      <c r="I10" s="57"/>
      <c r="J10" s="57">
        <v>133.81</v>
      </c>
      <c r="K10" s="57"/>
      <c r="L10" s="57"/>
      <c r="M10" s="57"/>
      <c r="N10" s="57"/>
      <c r="O10" s="57"/>
      <c r="P10" s="415">
        <f>97.78+54.3</f>
        <v>152.07999999999998</v>
      </c>
    </row>
    <row r="11" spans="1:16" x14ac:dyDescent="0.35">
      <c r="B11" s="1" t="s">
        <v>278</v>
      </c>
      <c r="C11" s="370">
        <v>4700</v>
      </c>
      <c r="D11" s="462">
        <f t="shared" si="3"/>
        <v>700</v>
      </c>
      <c r="E11" s="51"/>
      <c r="F11" s="57"/>
      <c r="G11" s="57"/>
      <c r="H11" s="57"/>
      <c r="J11" s="57">
        <v>200</v>
      </c>
      <c r="K11" s="57"/>
      <c r="L11" s="57"/>
      <c r="M11" s="57"/>
      <c r="N11" s="57">
        <v>500</v>
      </c>
      <c r="O11" s="57"/>
      <c r="P11" s="415">
        <v>0</v>
      </c>
    </row>
    <row r="12" spans="1:16" ht="5" customHeight="1" x14ac:dyDescent="0.35">
      <c r="C12" s="370"/>
      <c r="D12" s="32"/>
      <c r="E12" s="51"/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57"/>
    </row>
    <row r="13" spans="1:16" x14ac:dyDescent="0.35">
      <c r="A13" s="1" t="s">
        <v>48</v>
      </c>
      <c r="B13" s="1" t="s">
        <v>5</v>
      </c>
      <c r="C13" s="370">
        <v>1060</v>
      </c>
      <c r="D13" s="461">
        <f t="shared" si="3"/>
        <v>1032.9600000000003</v>
      </c>
      <c r="E13" s="51">
        <v>86.08</v>
      </c>
      <c r="F13" s="51">
        <f t="shared" ref="F13:K13" si="4">+E13</f>
        <v>86.08</v>
      </c>
      <c r="G13" s="51">
        <f t="shared" si="4"/>
        <v>86.08</v>
      </c>
      <c r="H13" s="51">
        <f t="shared" si="4"/>
        <v>86.08</v>
      </c>
      <c r="I13" s="51">
        <f t="shared" si="4"/>
        <v>86.08</v>
      </c>
      <c r="J13" s="51">
        <f t="shared" si="4"/>
        <v>86.08</v>
      </c>
      <c r="K13" s="51">
        <f t="shared" si="4"/>
        <v>86.08</v>
      </c>
      <c r="L13" s="51">
        <f t="shared" ref="L13:P13" si="5">+K13</f>
        <v>86.08</v>
      </c>
      <c r="M13" s="51">
        <f t="shared" si="5"/>
        <v>86.08</v>
      </c>
      <c r="N13" s="51">
        <f t="shared" si="5"/>
        <v>86.08</v>
      </c>
      <c r="O13" s="51">
        <f t="shared" si="5"/>
        <v>86.08</v>
      </c>
      <c r="P13" s="433">
        <f t="shared" si="5"/>
        <v>86.08</v>
      </c>
    </row>
    <row r="14" spans="1:16" ht="5" customHeight="1" x14ac:dyDescent="0.35">
      <c r="C14" s="370"/>
      <c r="D14" s="32"/>
      <c r="E14" s="51"/>
      <c r="F14" s="57"/>
      <c r="G14" s="57"/>
      <c r="H14" s="57"/>
      <c r="I14" s="57"/>
      <c r="J14" s="57"/>
      <c r="K14" s="57"/>
      <c r="L14" s="57"/>
      <c r="M14" s="57"/>
      <c r="N14" s="57"/>
      <c r="O14" s="57"/>
      <c r="P14" s="57"/>
    </row>
    <row r="15" spans="1:16" x14ac:dyDescent="0.35">
      <c r="A15" s="1" t="s">
        <v>46</v>
      </c>
      <c r="B15" s="1" t="s">
        <v>262</v>
      </c>
      <c r="C15" s="370">
        <v>48</v>
      </c>
      <c r="D15" s="462">
        <f t="shared" si="3"/>
        <v>48</v>
      </c>
      <c r="E15" s="51">
        <v>4</v>
      </c>
      <c r="F15" s="57">
        <v>4</v>
      </c>
      <c r="G15" s="57">
        <v>4</v>
      </c>
      <c r="H15" s="383">
        <v>4</v>
      </c>
      <c r="I15" s="57">
        <v>4</v>
      </c>
      <c r="J15" s="57">
        <v>4</v>
      </c>
      <c r="K15" s="57">
        <v>4</v>
      </c>
      <c r="L15" s="57">
        <v>4</v>
      </c>
      <c r="M15" s="57">
        <v>4</v>
      </c>
      <c r="N15" s="57">
        <v>4</v>
      </c>
      <c r="O15" s="57">
        <v>4</v>
      </c>
      <c r="P15" s="415">
        <v>4</v>
      </c>
    </row>
    <row r="16" spans="1:16" ht="5" customHeight="1" x14ac:dyDescent="0.35">
      <c r="C16" s="370"/>
      <c r="D16" s="32"/>
      <c r="E16" s="51"/>
      <c r="F16" s="57"/>
      <c r="G16" s="57"/>
      <c r="H16" s="57"/>
      <c r="I16" s="57"/>
      <c r="J16" s="57"/>
      <c r="K16" s="57"/>
      <c r="L16" s="57"/>
      <c r="M16" s="57"/>
      <c r="N16" s="57"/>
      <c r="O16" s="57"/>
      <c r="P16" s="57"/>
    </row>
    <row r="17" spans="1:16" x14ac:dyDescent="0.35">
      <c r="A17" s="1" t="s">
        <v>45</v>
      </c>
      <c r="B17" s="1" t="s">
        <v>16</v>
      </c>
      <c r="C17" s="370">
        <v>1513</v>
      </c>
      <c r="D17" s="462">
        <f t="shared" si="3"/>
        <v>1746.94</v>
      </c>
      <c r="E17" s="51"/>
      <c r="F17" s="57">
        <v>0</v>
      </c>
      <c r="G17" s="57">
        <v>428.01</v>
      </c>
      <c r="H17" s="57">
        <v>0</v>
      </c>
      <c r="I17" s="57"/>
      <c r="J17" s="57">
        <v>330.2</v>
      </c>
      <c r="K17" s="57"/>
      <c r="L17" s="57"/>
      <c r="M17" s="57">
        <v>405.3</v>
      </c>
      <c r="N17" s="57"/>
      <c r="O17" s="57"/>
      <c r="P17" s="415">
        <v>583.42999999999995</v>
      </c>
    </row>
    <row r="18" spans="1:16" ht="5" customHeight="1" x14ac:dyDescent="0.35">
      <c r="C18" s="370"/>
      <c r="D18" s="32"/>
      <c r="E18" s="51"/>
      <c r="F18" s="57"/>
      <c r="G18" s="57"/>
      <c r="H18" s="57"/>
      <c r="I18" s="57"/>
      <c r="J18" s="57"/>
      <c r="K18" s="57"/>
      <c r="L18" s="57"/>
      <c r="M18" s="57"/>
      <c r="N18" s="57"/>
      <c r="O18" s="57"/>
      <c r="P18" s="57"/>
    </row>
    <row r="19" spans="1:16" x14ac:dyDescent="0.35">
      <c r="A19" s="1" t="s">
        <v>56</v>
      </c>
      <c r="B19" s="1" t="s">
        <v>30</v>
      </c>
      <c r="C19" s="370">
        <v>780</v>
      </c>
      <c r="D19" s="462">
        <f t="shared" si="3"/>
        <v>779.19</v>
      </c>
      <c r="E19" s="51"/>
      <c r="F19" s="57"/>
      <c r="G19" s="57"/>
      <c r="I19" s="57"/>
      <c r="J19" s="57">
        <v>379.19</v>
      </c>
      <c r="K19" s="57"/>
      <c r="L19" s="57"/>
      <c r="M19" s="57"/>
      <c r="N19" s="57"/>
      <c r="O19" s="57"/>
      <c r="P19" s="372">
        <v>400</v>
      </c>
    </row>
    <row r="20" spans="1:16" x14ac:dyDescent="0.35">
      <c r="B20" s="1" t="s">
        <v>261</v>
      </c>
      <c r="C20" s="370">
        <v>308</v>
      </c>
      <c r="D20" s="462">
        <f t="shared" si="3"/>
        <v>396</v>
      </c>
      <c r="E20" s="51"/>
      <c r="F20" s="57">
        <v>198</v>
      </c>
      <c r="G20" s="57"/>
      <c r="H20" s="57"/>
      <c r="I20" s="57"/>
      <c r="J20" s="57">
        <v>198</v>
      </c>
      <c r="K20" s="57"/>
      <c r="L20" s="57"/>
      <c r="M20" s="57"/>
      <c r="N20" s="57">
        <v>0</v>
      </c>
      <c r="O20" s="57"/>
      <c r="P20" s="372">
        <v>0</v>
      </c>
    </row>
    <row r="21" spans="1:16" x14ac:dyDescent="0.35">
      <c r="B21" s="1" t="s">
        <v>383</v>
      </c>
      <c r="C21" s="370">
        <v>10</v>
      </c>
      <c r="D21" s="463">
        <f t="shared" si="3"/>
        <v>20</v>
      </c>
      <c r="E21" s="455"/>
      <c r="F21" s="455"/>
      <c r="G21" s="455"/>
      <c r="H21" s="455"/>
      <c r="I21" s="455"/>
      <c r="J21" s="455"/>
      <c r="K21" s="455"/>
      <c r="L21" s="455">
        <v>20</v>
      </c>
      <c r="M21" s="455"/>
      <c r="N21" s="455"/>
      <c r="O21" s="455"/>
      <c r="P21" s="455"/>
    </row>
    <row r="22" spans="1:16" hidden="1" x14ac:dyDescent="0.35">
      <c r="B22" s="1" t="s">
        <v>162</v>
      </c>
      <c r="C22" s="468">
        <v>300</v>
      </c>
      <c r="D22" s="33">
        <f t="shared" si="3"/>
        <v>0</v>
      </c>
      <c r="E22" s="458">
        <v>0</v>
      </c>
      <c r="F22" s="56">
        <v>0</v>
      </c>
      <c r="G22" s="56">
        <v>0</v>
      </c>
      <c r="H22" s="56">
        <v>0</v>
      </c>
      <c r="I22" s="56">
        <v>0</v>
      </c>
      <c r="J22" s="56">
        <v>0</v>
      </c>
      <c r="K22" s="56">
        <v>0</v>
      </c>
      <c r="L22" s="56">
        <v>0</v>
      </c>
      <c r="M22" s="56">
        <v>0</v>
      </c>
      <c r="N22" s="56">
        <v>0</v>
      </c>
      <c r="O22" s="56">
        <v>0</v>
      </c>
      <c r="P22" s="56">
        <v>0</v>
      </c>
    </row>
    <row r="23" spans="1:16" x14ac:dyDescent="0.35">
      <c r="A23" s="25" t="s">
        <v>24</v>
      </c>
      <c r="C23" s="390">
        <f t="shared" ref="C23:P23" si="6">SUM(C9:C22)</f>
        <v>17663</v>
      </c>
      <c r="D23" s="464">
        <f t="shared" si="6"/>
        <v>12158.980000000001</v>
      </c>
      <c r="E23" s="30">
        <f t="shared" si="6"/>
        <v>1190.08</v>
      </c>
      <c r="F23" s="30">
        <f t="shared" si="6"/>
        <v>838.08</v>
      </c>
      <c r="G23" s="30">
        <f t="shared" si="6"/>
        <v>1068.0900000000001</v>
      </c>
      <c r="H23" s="30">
        <f t="shared" si="6"/>
        <v>90.08</v>
      </c>
      <c r="I23" s="30">
        <f t="shared" si="6"/>
        <v>1190.08</v>
      </c>
      <c r="J23" s="30">
        <f t="shared" si="6"/>
        <v>1331.28</v>
      </c>
      <c r="K23" s="30">
        <f t="shared" si="6"/>
        <v>1190.08</v>
      </c>
      <c r="L23" s="30">
        <f t="shared" si="6"/>
        <v>660.08</v>
      </c>
      <c r="M23" s="30">
        <f t="shared" si="6"/>
        <v>495.38</v>
      </c>
      <c r="N23" s="30">
        <f t="shared" si="6"/>
        <v>1140.08</v>
      </c>
      <c r="O23" s="30">
        <f t="shared" si="6"/>
        <v>1190.08</v>
      </c>
      <c r="P23" s="434">
        <f t="shared" si="6"/>
        <v>1775.59</v>
      </c>
    </row>
    <row r="24" spans="1:16" ht="5" customHeight="1" x14ac:dyDescent="0.35">
      <c r="B24" s="155"/>
      <c r="C24" s="370"/>
      <c r="D24" s="32"/>
      <c r="E24" s="459"/>
      <c r="F24" s="363"/>
      <c r="G24" s="363"/>
    </row>
    <row r="25" spans="1:16" ht="16" thickBot="1" x14ac:dyDescent="0.4">
      <c r="A25" s="37" t="s">
        <v>50</v>
      </c>
      <c r="C25" s="391">
        <f t="shared" ref="C25:P25" si="7">+C2+C6-C23</f>
        <v>18803.149999999994</v>
      </c>
      <c r="D25" s="209">
        <f t="shared" si="7"/>
        <v>24307.169999999991</v>
      </c>
      <c r="E25" s="374">
        <f t="shared" si="7"/>
        <v>21516.07</v>
      </c>
      <c r="F25" s="364">
        <f t="shared" si="7"/>
        <v>20677.989999999998</v>
      </c>
      <c r="G25" s="364">
        <f t="shared" si="7"/>
        <v>19609.899999999998</v>
      </c>
      <c r="H25" s="364">
        <f t="shared" si="7"/>
        <v>28979.819999999996</v>
      </c>
      <c r="I25" s="364">
        <f t="shared" si="7"/>
        <v>30369.739999999998</v>
      </c>
      <c r="J25" s="364">
        <f t="shared" si="7"/>
        <v>29038.46</v>
      </c>
      <c r="K25" s="364">
        <f t="shared" si="7"/>
        <v>27848.379999999997</v>
      </c>
      <c r="L25" s="364">
        <f t="shared" si="7"/>
        <v>28478.299999999996</v>
      </c>
      <c r="M25" s="364">
        <f t="shared" si="7"/>
        <v>27982.919999999995</v>
      </c>
      <c r="N25" s="364">
        <f t="shared" si="7"/>
        <v>26842.839999999997</v>
      </c>
      <c r="O25" s="364">
        <f t="shared" si="7"/>
        <v>26082.759999999995</v>
      </c>
      <c r="P25" s="435">
        <f t="shared" si="7"/>
        <v>24307.169999999995</v>
      </c>
    </row>
    <row r="26" spans="1:16" ht="5" customHeight="1" x14ac:dyDescent="0.35">
      <c r="A26" s="37"/>
      <c r="C26" s="215"/>
      <c r="D26" s="251"/>
      <c r="E26" s="374"/>
      <c r="F26" s="364"/>
      <c r="G26" s="364"/>
      <c r="H26" s="364"/>
      <c r="I26" s="364"/>
      <c r="J26" s="364"/>
      <c r="K26" s="364"/>
      <c r="L26" s="364"/>
      <c r="M26" s="364"/>
      <c r="N26" s="364"/>
      <c r="O26" s="364"/>
      <c r="P26" s="364"/>
    </row>
    <row r="27" spans="1:16" ht="16" thickBot="1" x14ac:dyDescent="0.4">
      <c r="A27" s="375" t="s">
        <v>359</v>
      </c>
      <c r="C27" s="215"/>
      <c r="D27" s="251"/>
      <c r="E27" s="374"/>
      <c r="F27" s="364"/>
      <c r="G27" s="364"/>
      <c r="H27" s="364"/>
      <c r="I27" s="364"/>
      <c r="J27" s="364"/>
      <c r="K27" s="364"/>
      <c r="L27" s="364"/>
      <c r="M27" s="364"/>
      <c r="N27" s="364"/>
      <c r="O27" s="364"/>
      <c r="P27" s="364"/>
    </row>
    <row r="28" spans="1:16" x14ac:dyDescent="0.35">
      <c r="A28" s="37" t="s">
        <v>357</v>
      </c>
      <c r="C28" s="470">
        <f>+C25-C30-C29</f>
        <v>10803.149999999994</v>
      </c>
      <c r="D28" s="376">
        <v>10767</v>
      </c>
      <c r="E28" s="374"/>
      <c r="F28" s="364"/>
      <c r="G28" s="364"/>
      <c r="H28" s="364"/>
      <c r="I28" s="364"/>
      <c r="J28" s="364"/>
      <c r="K28" s="364"/>
      <c r="L28" s="364"/>
      <c r="M28" s="364"/>
      <c r="N28" s="364"/>
      <c r="O28" s="364"/>
      <c r="P28" s="364"/>
    </row>
    <row r="29" spans="1:16" ht="16" thickBot="1" x14ac:dyDescent="0.4">
      <c r="A29" s="37" t="s">
        <v>381</v>
      </c>
      <c r="C29" s="472">
        <v>3000</v>
      </c>
      <c r="D29" s="377">
        <v>3000</v>
      </c>
      <c r="E29" s="374"/>
      <c r="F29" s="364"/>
      <c r="G29" s="364"/>
      <c r="H29" s="364"/>
      <c r="I29" s="364"/>
      <c r="J29" s="364"/>
      <c r="K29" s="364"/>
      <c r="L29" s="364"/>
      <c r="M29" s="364"/>
      <c r="N29" s="364"/>
      <c r="O29" s="364"/>
      <c r="P29" s="364"/>
    </row>
    <row r="30" spans="1:16" ht="16" thickBot="1" x14ac:dyDescent="0.4">
      <c r="A30" s="37" t="s">
        <v>414</v>
      </c>
      <c r="C30" s="471">
        <v>5000</v>
      </c>
      <c r="D30" s="209">
        <f>+D25-D29-D28</f>
        <v>10540.169999999991</v>
      </c>
      <c r="E30" s="374"/>
      <c r="F30" s="364"/>
      <c r="G30" s="364"/>
      <c r="H30" s="364"/>
      <c r="I30" s="364"/>
      <c r="J30" s="364"/>
      <c r="K30" s="364"/>
      <c r="L30" s="364"/>
      <c r="M30" s="364"/>
      <c r="N30" s="364"/>
      <c r="O30" s="364"/>
      <c r="P30" s="364"/>
    </row>
    <row r="31" spans="1:16" x14ac:dyDescent="0.35">
      <c r="E31" s="374"/>
      <c r="F31" s="364"/>
      <c r="G31" s="364"/>
      <c r="H31" s="364"/>
      <c r="I31" s="364"/>
      <c r="J31" s="364"/>
      <c r="K31" s="364"/>
      <c r="L31" s="364"/>
      <c r="M31" s="364"/>
      <c r="N31" s="364"/>
      <c r="O31" s="364"/>
      <c r="P31" s="364"/>
    </row>
    <row r="32" spans="1:16" x14ac:dyDescent="0.35">
      <c r="A32" s="3"/>
      <c r="C32" s="99"/>
      <c r="D32" s="99"/>
      <c r="E32" s="537"/>
      <c r="F32" s="537"/>
      <c r="G32" s="537"/>
      <c r="H32" s="537"/>
      <c r="I32" s="537"/>
      <c r="J32" s="537"/>
      <c r="K32" s="537"/>
      <c r="L32" s="537"/>
    </row>
    <row r="33" spans="1:16" s="9" customFormat="1" x14ac:dyDescent="0.35">
      <c r="A33" s="1" t="s">
        <v>274</v>
      </c>
      <c r="B33" s="2"/>
      <c r="C33" s="313">
        <f t="shared" ref="C33:D35" si="8">+C9</f>
        <v>7360</v>
      </c>
      <c r="D33" s="313">
        <f t="shared" si="8"/>
        <v>7150</v>
      </c>
      <c r="E33" s="283">
        <f>+D33/32</f>
        <v>223.4375</v>
      </c>
      <c r="H33" s="1"/>
      <c r="I33" s="1"/>
      <c r="J33" s="1"/>
      <c r="K33" s="1"/>
      <c r="L33" s="1"/>
      <c r="M33" s="1"/>
      <c r="N33" s="1"/>
      <c r="O33" s="1"/>
      <c r="P33" s="1"/>
    </row>
    <row r="34" spans="1:16" s="9" customFormat="1" x14ac:dyDescent="0.35">
      <c r="A34" s="1" t="s">
        <v>275</v>
      </c>
      <c r="B34" s="2"/>
      <c r="C34" s="313">
        <f t="shared" si="8"/>
        <v>1584</v>
      </c>
      <c r="D34" s="313">
        <f t="shared" si="8"/>
        <v>285.89</v>
      </c>
      <c r="E34" s="283">
        <f t="shared" ref="E34:E38" si="9">+D34/32</f>
        <v>8.9340624999999996</v>
      </c>
      <c r="H34" s="1"/>
      <c r="I34" s="1"/>
      <c r="J34" s="1"/>
      <c r="K34" s="1"/>
      <c r="L34" s="1"/>
      <c r="M34" s="1"/>
      <c r="N34" s="1"/>
      <c r="O34" s="1"/>
      <c r="P34" s="1"/>
    </row>
    <row r="35" spans="1:16" s="9" customFormat="1" x14ac:dyDescent="0.35">
      <c r="A35" s="1" t="s">
        <v>276</v>
      </c>
      <c r="B35" s="2"/>
      <c r="C35" s="313">
        <f t="shared" si="8"/>
        <v>4700</v>
      </c>
      <c r="D35" s="313">
        <f t="shared" si="8"/>
        <v>700</v>
      </c>
      <c r="E35" s="283">
        <f t="shared" si="9"/>
        <v>21.875</v>
      </c>
      <c r="H35" s="1"/>
      <c r="I35" s="1"/>
      <c r="J35" s="1"/>
      <c r="K35" s="1"/>
      <c r="L35" s="1"/>
      <c r="M35" s="1"/>
      <c r="N35" s="1"/>
      <c r="O35" s="1"/>
      <c r="P35" s="1"/>
    </row>
    <row r="36" spans="1:16" x14ac:dyDescent="0.35">
      <c r="A36" s="1" t="s">
        <v>4</v>
      </c>
      <c r="B36" s="2"/>
      <c r="C36" s="313">
        <f>+C13</f>
        <v>1060</v>
      </c>
      <c r="D36" s="313">
        <f>+D13</f>
        <v>1032.9600000000003</v>
      </c>
      <c r="E36" s="283">
        <f t="shared" si="9"/>
        <v>32.280000000000008</v>
      </c>
    </row>
    <row r="37" spans="1:16" x14ac:dyDescent="0.35">
      <c r="A37" s="1" t="s">
        <v>79</v>
      </c>
      <c r="B37" s="2"/>
      <c r="C37" s="313">
        <f>+C17</f>
        <v>1513</v>
      </c>
      <c r="D37" s="313">
        <f>+D17</f>
        <v>1746.94</v>
      </c>
      <c r="E37" s="283">
        <f t="shared" si="9"/>
        <v>54.591875000000002</v>
      </c>
    </row>
    <row r="38" spans="1:16" s="9" customFormat="1" x14ac:dyDescent="0.35">
      <c r="A38" s="1" t="s">
        <v>392</v>
      </c>
      <c r="B38" s="2"/>
      <c r="C38" s="314">
        <f>+C15+C19+C20+C21+C22</f>
        <v>1446</v>
      </c>
      <c r="D38" s="314">
        <f>+D15+D19+D20+D21+D22</f>
        <v>1243.19</v>
      </c>
      <c r="E38" s="284">
        <f t="shared" si="9"/>
        <v>38.849687500000002</v>
      </c>
      <c r="H38" s="1"/>
      <c r="I38" s="1"/>
      <c r="J38" s="1"/>
      <c r="K38" s="1"/>
      <c r="L38" s="1"/>
      <c r="M38" s="1"/>
      <c r="N38" s="1"/>
      <c r="O38" s="1"/>
      <c r="P38" s="1"/>
    </row>
    <row r="39" spans="1:16" s="9" customFormat="1" x14ac:dyDescent="0.35">
      <c r="A39" s="1" t="s">
        <v>24</v>
      </c>
      <c r="B39" s="2"/>
      <c r="C39" s="313">
        <f>SUM(C33:C38)</f>
        <v>17663</v>
      </c>
      <c r="D39" s="313">
        <f>SUM(D33:D38)</f>
        <v>12158.980000000001</v>
      </c>
      <c r="E39" s="283">
        <f>SUM(E33:E38)</f>
        <v>379.96812500000004</v>
      </c>
      <c r="H39" s="1"/>
      <c r="I39" s="1"/>
      <c r="J39" s="1"/>
      <c r="K39" s="1"/>
      <c r="L39" s="1"/>
      <c r="M39" s="1"/>
      <c r="N39" s="1"/>
      <c r="O39" s="1"/>
      <c r="P39" s="1"/>
    </row>
    <row r="41" spans="1:16" x14ac:dyDescent="0.35">
      <c r="D41" s="155" t="s">
        <v>400</v>
      </c>
      <c r="E41" s="293">
        <f>+B5</f>
        <v>430</v>
      </c>
    </row>
    <row r="42" spans="1:16" x14ac:dyDescent="0.35">
      <c r="D42" s="155" t="s">
        <v>409</v>
      </c>
      <c r="E42" s="293">
        <f>+E39-E41</f>
        <v>-50.031874999999957</v>
      </c>
    </row>
  </sheetData>
  <mergeCells count="2">
    <mergeCell ref="A1:B1"/>
    <mergeCell ref="E32:L32"/>
  </mergeCells>
  <conditionalFormatting sqref="C32:D32">
    <cfRule type="cellIs" dxfId="0" priority="1" operator="lessThan">
      <formula>0</formula>
    </cfRule>
  </conditionalFormatting>
  <pageMargins left="0.25" right="0.25" top="0.75" bottom="0.75" header="0.3" footer="0.3"/>
  <pageSetup scale="64" orientation="landscape" horizontalDpi="4294967293" r:id="rId1"/>
  <drawing r:id="rId2"/>
  <legacyDrawing r:id="rId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0070C0"/>
    <pageSetUpPr fitToPage="1"/>
  </sheetPr>
  <dimension ref="A1:O56"/>
  <sheetViews>
    <sheetView topLeftCell="A16" workbookViewId="0">
      <selection activeCell="L29" sqref="L29"/>
    </sheetView>
  </sheetViews>
  <sheetFormatPr defaultRowHeight="14.5" x14ac:dyDescent="0.35"/>
  <cols>
    <col min="1" max="1" width="7.08984375" customWidth="1"/>
    <col min="2" max="2" width="10.453125" customWidth="1"/>
    <col min="11" max="11" width="12.54296875" customWidth="1"/>
    <col min="12" max="12" width="9.08984375" customWidth="1"/>
    <col min="13" max="13" width="9.6328125" customWidth="1"/>
  </cols>
  <sheetData>
    <row r="1" spans="1:14" ht="19" thickBot="1" x14ac:dyDescent="0.5">
      <c r="A1" s="308" t="s">
        <v>243</v>
      </c>
    </row>
    <row r="2" spans="1:14" ht="13.75" customHeight="1" thickBot="1" x14ac:dyDescent="0.4">
      <c r="B2" s="517" t="s">
        <v>244</v>
      </c>
      <c r="C2" s="518"/>
      <c r="D2" s="519"/>
      <c r="E2" s="517" t="s">
        <v>268</v>
      </c>
      <c r="F2" s="518"/>
      <c r="G2" s="519"/>
      <c r="H2" s="517" t="s">
        <v>245</v>
      </c>
      <c r="I2" s="518"/>
      <c r="J2" s="519"/>
      <c r="K2" s="540" t="s">
        <v>249</v>
      </c>
      <c r="L2" s="543" t="s">
        <v>328</v>
      </c>
      <c r="M2" s="540" t="s">
        <v>378</v>
      </c>
      <c r="N2" s="543" t="s">
        <v>377</v>
      </c>
    </row>
    <row r="3" spans="1:14" x14ac:dyDescent="0.35">
      <c r="A3" s="157"/>
      <c r="B3" s="297" t="s">
        <v>247</v>
      </c>
      <c r="C3" s="117"/>
      <c r="D3" s="298">
        <v>2015</v>
      </c>
      <c r="E3" s="297" t="s">
        <v>247</v>
      </c>
      <c r="F3" s="117"/>
      <c r="G3" s="298">
        <v>2000</v>
      </c>
      <c r="H3" s="297" t="s">
        <v>247</v>
      </c>
      <c r="I3" s="117"/>
      <c r="J3" s="298">
        <v>2000</v>
      </c>
      <c r="K3" s="541"/>
      <c r="L3" s="544"/>
      <c r="M3" s="541"/>
      <c r="N3" s="544"/>
    </row>
    <row r="4" spans="1:14" x14ac:dyDescent="0.35">
      <c r="B4" s="297" t="s">
        <v>246</v>
      </c>
      <c r="C4" s="117"/>
      <c r="D4" s="301">
        <v>16000</v>
      </c>
      <c r="E4" s="297" t="s">
        <v>246</v>
      </c>
      <c r="F4" s="117"/>
      <c r="G4" s="301">
        <v>5300</v>
      </c>
      <c r="H4" s="297" t="s">
        <v>246</v>
      </c>
      <c r="I4" s="117"/>
      <c r="J4" s="301">
        <v>1000</v>
      </c>
      <c r="K4" s="541"/>
      <c r="L4" s="544"/>
      <c r="M4" s="541"/>
      <c r="N4" s="544"/>
    </row>
    <row r="5" spans="1:14" x14ac:dyDescent="0.35">
      <c r="B5" s="297" t="s">
        <v>251</v>
      </c>
      <c r="C5" s="117"/>
      <c r="D5" s="301">
        <v>21000</v>
      </c>
      <c r="E5" s="297" t="s">
        <v>251</v>
      </c>
      <c r="F5" s="117"/>
      <c r="G5" s="301">
        <v>8000</v>
      </c>
      <c r="H5" s="297" t="s">
        <v>251</v>
      </c>
      <c r="I5" s="117"/>
      <c r="J5" s="301">
        <v>2000</v>
      </c>
      <c r="K5" s="541"/>
      <c r="L5" s="544"/>
      <c r="M5" s="541"/>
      <c r="N5" s="544"/>
    </row>
    <row r="6" spans="1:14" x14ac:dyDescent="0.35">
      <c r="A6" s="108" t="s">
        <v>250</v>
      </c>
      <c r="B6" s="299" t="s">
        <v>248</v>
      </c>
      <c r="C6" s="300"/>
      <c r="D6" s="302">
        <f>+D5/30</f>
        <v>700</v>
      </c>
      <c r="E6" s="299" t="s">
        <v>248</v>
      </c>
      <c r="F6" s="300"/>
      <c r="G6" s="302">
        <f>+G5/40</f>
        <v>200</v>
      </c>
      <c r="H6" s="299" t="s">
        <v>248</v>
      </c>
      <c r="I6" s="300"/>
      <c r="J6" s="302">
        <f>+J5/30</f>
        <v>66.666666666666671</v>
      </c>
      <c r="K6" s="542"/>
      <c r="L6" s="545"/>
      <c r="M6" s="542"/>
      <c r="N6" s="545"/>
    </row>
    <row r="7" spans="1:14" x14ac:dyDescent="0.35">
      <c r="A7" s="117">
        <v>2000</v>
      </c>
      <c r="B7" s="303"/>
      <c r="C7" s="125"/>
      <c r="D7" s="304"/>
      <c r="E7" s="303"/>
      <c r="F7" s="125"/>
      <c r="G7" s="304"/>
      <c r="H7" s="303"/>
      <c r="I7" s="125"/>
      <c r="J7" s="304"/>
      <c r="K7" s="303"/>
      <c r="L7" s="304"/>
      <c r="M7" s="411"/>
      <c r="N7" s="412"/>
    </row>
    <row r="8" spans="1:14" x14ac:dyDescent="0.35">
      <c r="A8" s="117">
        <v>2001</v>
      </c>
      <c r="B8" s="303"/>
      <c r="C8" s="125"/>
      <c r="D8" s="304"/>
      <c r="E8" s="303"/>
      <c r="F8" s="125">
        <f>+G6</f>
        <v>200</v>
      </c>
      <c r="G8" s="304">
        <f>+F8</f>
        <v>200</v>
      </c>
      <c r="H8" s="303"/>
      <c r="I8" s="125">
        <f>+J6</f>
        <v>66.666666666666671</v>
      </c>
      <c r="J8" s="304">
        <f>+I8</f>
        <v>66.666666666666671</v>
      </c>
      <c r="K8" s="303">
        <f>+F8+I8+C8</f>
        <v>266.66666666666669</v>
      </c>
      <c r="L8" s="304">
        <f>+G8+J8+D8</f>
        <v>266.66666666666669</v>
      </c>
      <c r="M8" s="411"/>
      <c r="N8" s="412"/>
    </row>
    <row r="9" spans="1:14" x14ac:dyDescent="0.35">
      <c r="A9" s="117">
        <v>2002</v>
      </c>
      <c r="B9" s="303"/>
      <c r="C9" s="125"/>
      <c r="D9" s="304"/>
      <c r="E9" s="303"/>
      <c r="F9" s="125">
        <f>+F8</f>
        <v>200</v>
      </c>
      <c r="G9" s="304">
        <f>+F9+G8</f>
        <v>400</v>
      </c>
      <c r="H9" s="303"/>
      <c r="I9" s="125">
        <f>+I8</f>
        <v>66.666666666666671</v>
      </c>
      <c r="J9" s="304">
        <f>+I9+J8</f>
        <v>133.33333333333334</v>
      </c>
      <c r="K9" s="303">
        <f t="shared" ref="K9:K52" si="0">+F9+I9+C9</f>
        <v>266.66666666666669</v>
      </c>
      <c r="L9" s="304">
        <f t="shared" ref="L9:L52" si="1">+G9+J9+D9</f>
        <v>533.33333333333337</v>
      </c>
      <c r="M9" s="411"/>
      <c r="N9" s="412"/>
    </row>
    <row r="10" spans="1:14" x14ac:dyDescent="0.35">
      <c r="A10" s="117">
        <v>2003</v>
      </c>
      <c r="B10" s="303"/>
      <c r="C10" s="125"/>
      <c r="D10" s="304"/>
      <c r="E10" s="303"/>
      <c r="F10" s="125">
        <f t="shared" ref="F10:F36" si="2">+F9</f>
        <v>200</v>
      </c>
      <c r="G10" s="304">
        <f t="shared" ref="G10:G37" si="3">+F10+G9</f>
        <v>600</v>
      </c>
      <c r="H10" s="303"/>
      <c r="I10" s="125">
        <f t="shared" ref="I10:I37" si="4">+I9</f>
        <v>66.666666666666671</v>
      </c>
      <c r="J10" s="304">
        <f t="shared" ref="J10:J37" si="5">+I10+J9</f>
        <v>200</v>
      </c>
      <c r="K10" s="303">
        <f t="shared" si="0"/>
        <v>266.66666666666669</v>
      </c>
      <c r="L10" s="304">
        <f t="shared" si="1"/>
        <v>800</v>
      </c>
      <c r="M10" s="411"/>
      <c r="N10" s="412"/>
    </row>
    <row r="11" spans="1:14" x14ac:dyDescent="0.35">
      <c r="A11" s="117">
        <v>2004</v>
      </c>
      <c r="B11" s="303"/>
      <c r="C11" s="125"/>
      <c r="D11" s="304"/>
      <c r="E11" s="303"/>
      <c r="F11" s="125">
        <f t="shared" si="2"/>
        <v>200</v>
      </c>
      <c r="G11" s="304">
        <f t="shared" si="3"/>
        <v>800</v>
      </c>
      <c r="H11" s="303"/>
      <c r="I11" s="125">
        <f t="shared" si="4"/>
        <v>66.666666666666671</v>
      </c>
      <c r="J11" s="304">
        <f t="shared" si="5"/>
        <v>266.66666666666669</v>
      </c>
      <c r="K11" s="303">
        <f t="shared" si="0"/>
        <v>266.66666666666669</v>
      </c>
      <c r="L11" s="304">
        <f t="shared" si="1"/>
        <v>1066.6666666666667</v>
      </c>
      <c r="M11" s="411"/>
      <c r="N11" s="412"/>
    </row>
    <row r="12" spans="1:14" x14ac:dyDescent="0.35">
      <c r="A12" s="117">
        <v>2005</v>
      </c>
      <c r="B12" s="303"/>
      <c r="C12" s="125"/>
      <c r="D12" s="304"/>
      <c r="E12" s="303"/>
      <c r="F12" s="125">
        <f t="shared" si="2"/>
        <v>200</v>
      </c>
      <c r="G12" s="304">
        <f t="shared" si="3"/>
        <v>1000</v>
      </c>
      <c r="H12" s="303"/>
      <c r="I12" s="125">
        <f t="shared" si="4"/>
        <v>66.666666666666671</v>
      </c>
      <c r="J12" s="304">
        <f t="shared" si="5"/>
        <v>333.33333333333337</v>
      </c>
      <c r="K12" s="303">
        <f t="shared" si="0"/>
        <v>266.66666666666669</v>
      </c>
      <c r="L12" s="304">
        <f t="shared" si="1"/>
        <v>1333.3333333333335</v>
      </c>
      <c r="M12" s="411"/>
      <c r="N12" s="412"/>
    </row>
    <row r="13" spans="1:14" x14ac:dyDescent="0.35">
      <c r="A13" s="117">
        <v>2006</v>
      </c>
      <c r="B13" s="303"/>
      <c r="C13" s="125"/>
      <c r="D13" s="304"/>
      <c r="E13" s="303"/>
      <c r="F13" s="125">
        <f t="shared" si="2"/>
        <v>200</v>
      </c>
      <c r="G13" s="304">
        <f t="shared" si="3"/>
        <v>1200</v>
      </c>
      <c r="H13" s="303"/>
      <c r="I13" s="125">
        <f t="shared" si="4"/>
        <v>66.666666666666671</v>
      </c>
      <c r="J13" s="304">
        <f t="shared" si="5"/>
        <v>400.00000000000006</v>
      </c>
      <c r="K13" s="303">
        <f t="shared" si="0"/>
        <v>266.66666666666669</v>
      </c>
      <c r="L13" s="304">
        <f t="shared" si="1"/>
        <v>1600</v>
      </c>
      <c r="M13" s="411"/>
      <c r="N13" s="412"/>
    </row>
    <row r="14" spans="1:14" x14ac:dyDescent="0.35">
      <c r="A14" s="117">
        <v>2007</v>
      </c>
      <c r="B14" s="303"/>
      <c r="C14" s="125"/>
      <c r="D14" s="304"/>
      <c r="E14" s="303"/>
      <c r="F14" s="125">
        <f t="shared" si="2"/>
        <v>200</v>
      </c>
      <c r="G14" s="304">
        <f t="shared" si="3"/>
        <v>1400</v>
      </c>
      <c r="H14" s="303"/>
      <c r="I14" s="125">
        <f t="shared" si="4"/>
        <v>66.666666666666671</v>
      </c>
      <c r="J14" s="304">
        <f t="shared" si="5"/>
        <v>466.66666666666674</v>
      </c>
      <c r="K14" s="303">
        <f t="shared" si="0"/>
        <v>266.66666666666669</v>
      </c>
      <c r="L14" s="304">
        <f t="shared" si="1"/>
        <v>1866.6666666666667</v>
      </c>
      <c r="M14" s="411"/>
      <c r="N14" s="412"/>
    </row>
    <row r="15" spans="1:14" x14ac:dyDescent="0.35">
      <c r="A15" s="117">
        <v>2008</v>
      </c>
      <c r="B15" s="303"/>
      <c r="C15" s="125"/>
      <c r="D15" s="304"/>
      <c r="E15" s="303"/>
      <c r="F15" s="125">
        <f t="shared" si="2"/>
        <v>200</v>
      </c>
      <c r="G15" s="304">
        <f t="shared" si="3"/>
        <v>1600</v>
      </c>
      <c r="H15" s="303"/>
      <c r="I15" s="125">
        <f t="shared" si="4"/>
        <v>66.666666666666671</v>
      </c>
      <c r="J15" s="304">
        <f t="shared" si="5"/>
        <v>533.33333333333337</v>
      </c>
      <c r="K15" s="303">
        <f t="shared" si="0"/>
        <v>266.66666666666669</v>
      </c>
      <c r="L15" s="304">
        <f t="shared" si="1"/>
        <v>2133.3333333333335</v>
      </c>
      <c r="M15" s="411"/>
      <c r="N15" s="412"/>
    </row>
    <row r="16" spans="1:14" x14ac:dyDescent="0.35">
      <c r="A16" s="117">
        <v>2009</v>
      </c>
      <c r="B16" s="303"/>
      <c r="C16" s="125"/>
      <c r="D16" s="304"/>
      <c r="E16" s="303"/>
      <c r="F16" s="125">
        <f t="shared" si="2"/>
        <v>200</v>
      </c>
      <c r="G16" s="304">
        <f t="shared" si="3"/>
        <v>1800</v>
      </c>
      <c r="H16" s="303"/>
      <c r="I16" s="125">
        <f t="shared" si="4"/>
        <v>66.666666666666671</v>
      </c>
      <c r="J16" s="304">
        <f t="shared" si="5"/>
        <v>600</v>
      </c>
      <c r="K16" s="303">
        <f t="shared" si="0"/>
        <v>266.66666666666669</v>
      </c>
      <c r="L16" s="304">
        <f t="shared" si="1"/>
        <v>2400</v>
      </c>
      <c r="M16" s="411"/>
      <c r="N16" s="412"/>
    </row>
    <row r="17" spans="1:15" x14ac:dyDescent="0.35">
      <c r="A17" s="117">
        <v>2010</v>
      </c>
      <c r="B17" s="303"/>
      <c r="C17" s="125"/>
      <c r="D17" s="304"/>
      <c r="E17" s="303"/>
      <c r="F17" s="125">
        <f t="shared" si="2"/>
        <v>200</v>
      </c>
      <c r="G17" s="304">
        <f t="shared" si="3"/>
        <v>2000</v>
      </c>
      <c r="H17" s="303"/>
      <c r="I17" s="125">
        <f t="shared" si="4"/>
        <v>66.666666666666671</v>
      </c>
      <c r="J17" s="304">
        <f t="shared" si="5"/>
        <v>666.66666666666663</v>
      </c>
      <c r="K17" s="303">
        <f t="shared" si="0"/>
        <v>266.66666666666669</v>
      </c>
      <c r="L17" s="304">
        <f t="shared" si="1"/>
        <v>2666.6666666666665</v>
      </c>
      <c r="M17" s="411"/>
      <c r="N17" s="412"/>
    </row>
    <row r="18" spans="1:15" x14ac:dyDescent="0.35">
      <c r="A18" s="117">
        <v>2011</v>
      </c>
      <c r="B18" s="303"/>
      <c r="C18" s="125"/>
      <c r="D18" s="304"/>
      <c r="E18" s="303"/>
      <c r="F18" s="125">
        <f t="shared" si="2"/>
        <v>200</v>
      </c>
      <c r="G18" s="304">
        <f t="shared" si="3"/>
        <v>2200</v>
      </c>
      <c r="H18" s="303"/>
      <c r="I18" s="125">
        <f t="shared" si="4"/>
        <v>66.666666666666671</v>
      </c>
      <c r="J18" s="304">
        <f t="shared" si="5"/>
        <v>733.33333333333326</v>
      </c>
      <c r="K18" s="303">
        <f t="shared" si="0"/>
        <v>266.66666666666669</v>
      </c>
      <c r="L18" s="304">
        <f t="shared" si="1"/>
        <v>2933.333333333333</v>
      </c>
      <c r="M18" s="411"/>
      <c r="N18" s="412"/>
    </row>
    <row r="19" spans="1:15" x14ac:dyDescent="0.35">
      <c r="A19" s="117">
        <v>2012</v>
      </c>
      <c r="B19" s="303"/>
      <c r="C19" s="125"/>
      <c r="D19" s="304"/>
      <c r="E19" s="303"/>
      <c r="F19" s="125">
        <f t="shared" si="2"/>
        <v>200</v>
      </c>
      <c r="G19" s="304">
        <f t="shared" si="3"/>
        <v>2400</v>
      </c>
      <c r="H19" s="303"/>
      <c r="I19" s="125">
        <f t="shared" si="4"/>
        <v>66.666666666666671</v>
      </c>
      <c r="J19" s="304">
        <f t="shared" si="5"/>
        <v>799.99999999999989</v>
      </c>
      <c r="K19" s="303">
        <f t="shared" si="0"/>
        <v>266.66666666666669</v>
      </c>
      <c r="L19" s="304">
        <f t="shared" si="1"/>
        <v>3200</v>
      </c>
      <c r="M19" s="411"/>
      <c r="N19" s="412"/>
    </row>
    <row r="20" spans="1:15" x14ac:dyDescent="0.35">
      <c r="A20" s="117">
        <v>2013</v>
      </c>
      <c r="B20" s="303"/>
      <c r="C20" s="125"/>
      <c r="D20" s="304"/>
      <c r="E20" s="303"/>
      <c r="F20" s="125">
        <f t="shared" si="2"/>
        <v>200</v>
      </c>
      <c r="G20" s="304">
        <f t="shared" si="3"/>
        <v>2600</v>
      </c>
      <c r="H20" s="303"/>
      <c r="I20" s="125">
        <f t="shared" si="4"/>
        <v>66.666666666666671</v>
      </c>
      <c r="J20" s="304">
        <f t="shared" si="5"/>
        <v>866.66666666666652</v>
      </c>
      <c r="K20" s="303">
        <f t="shared" si="0"/>
        <v>266.66666666666669</v>
      </c>
      <c r="L20" s="304">
        <f t="shared" si="1"/>
        <v>3466.6666666666665</v>
      </c>
      <c r="M20" s="411"/>
      <c r="N20" s="412"/>
    </row>
    <row r="21" spans="1:15" x14ac:dyDescent="0.35">
      <c r="A21" s="117">
        <v>2014</v>
      </c>
      <c r="B21" s="303"/>
      <c r="C21" s="125"/>
      <c r="D21" s="304"/>
      <c r="E21" s="303"/>
      <c r="F21" s="125">
        <f t="shared" si="2"/>
        <v>200</v>
      </c>
      <c r="G21" s="304">
        <f t="shared" si="3"/>
        <v>2800</v>
      </c>
      <c r="H21" s="303"/>
      <c r="I21" s="125">
        <f t="shared" si="4"/>
        <v>66.666666666666671</v>
      </c>
      <c r="J21" s="304">
        <f t="shared" si="5"/>
        <v>933.33333333333314</v>
      </c>
      <c r="K21" s="303">
        <f t="shared" si="0"/>
        <v>266.66666666666669</v>
      </c>
      <c r="L21" s="304">
        <f t="shared" si="1"/>
        <v>3733.333333333333</v>
      </c>
      <c r="M21" s="411"/>
      <c r="N21" s="412"/>
    </row>
    <row r="22" spans="1:15" x14ac:dyDescent="0.35">
      <c r="A22" s="117">
        <v>2015</v>
      </c>
      <c r="B22" s="303"/>
      <c r="C22" s="125"/>
      <c r="D22" s="304"/>
      <c r="E22" s="303"/>
      <c r="F22" s="125">
        <f t="shared" si="2"/>
        <v>200</v>
      </c>
      <c r="G22" s="304">
        <f t="shared" si="3"/>
        <v>3000</v>
      </c>
      <c r="H22" s="303"/>
      <c r="I22" s="125">
        <f t="shared" si="4"/>
        <v>66.666666666666671</v>
      </c>
      <c r="J22" s="304">
        <f t="shared" si="5"/>
        <v>999.99999999999977</v>
      </c>
      <c r="K22" s="303">
        <f t="shared" si="0"/>
        <v>266.66666666666669</v>
      </c>
      <c r="L22" s="304">
        <f t="shared" si="1"/>
        <v>4000</v>
      </c>
      <c r="M22" s="411"/>
      <c r="N22" s="412"/>
    </row>
    <row r="23" spans="1:15" x14ac:dyDescent="0.35">
      <c r="A23" s="117">
        <v>2016</v>
      </c>
      <c r="B23" s="303"/>
      <c r="C23" s="125">
        <f>+D6</f>
        <v>700</v>
      </c>
      <c r="D23" s="304">
        <f>+C23</f>
        <v>700</v>
      </c>
      <c r="E23" s="303"/>
      <c r="F23" s="125">
        <f t="shared" si="2"/>
        <v>200</v>
      </c>
      <c r="G23" s="304">
        <f t="shared" si="3"/>
        <v>3200</v>
      </c>
      <c r="H23" s="303"/>
      <c r="I23" s="125">
        <f t="shared" si="4"/>
        <v>66.666666666666671</v>
      </c>
      <c r="J23" s="304">
        <f t="shared" si="5"/>
        <v>1066.6666666666665</v>
      </c>
      <c r="K23" s="303">
        <f t="shared" si="0"/>
        <v>966.66666666666674</v>
      </c>
      <c r="L23" s="304">
        <f t="shared" si="1"/>
        <v>4966.6666666666661</v>
      </c>
      <c r="M23" s="411"/>
      <c r="N23" s="412"/>
    </row>
    <row r="24" spans="1:15" x14ac:dyDescent="0.35">
      <c r="A24" s="117">
        <v>2017</v>
      </c>
      <c r="B24" s="303"/>
      <c r="C24" s="125">
        <f>+C23</f>
        <v>700</v>
      </c>
      <c r="D24" s="304">
        <f>+D23+C24</f>
        <v>1400</v>
      </c>
      <c r="E24" s="303"/>
      <c r="F24" s="125">
        <f t="shared" si="2"/>
        <v>200</v>
      </c>
      <c r="G24" s="304">
        <f t="shared" si="3"/>
        <v>3400</v>
      </c>
      <c r="H24" s="303"/>
      <c r="I24" s="125">
        <f t="shared" si="4"/>
        <v>66.666666666666671</v>
      </c>
      <c r="J24" s="304">
        <f t="shared" si="5"/>
        <v>1133.3333333333333</v>
      </c>
      <c r="K24" s="303">
        <f t="shared" si="0"/>
        <v>966.66666666666674</v>
      </c>
      <c r="L24" s="304">
        <f t="shared" si="1"/>
        <v>5933.333333333333</v>
      </c>
      <c r="M24" s="411"/>
      <c r="N24" s="412"/>
    </row>
    <row r="25" spans="1:15" x14ac:dyDescent="0.35">
      <c r="A25" s="117">
        <v>2018</v>
      </c>
      <c r="B25" s="303"/>
      <c r="C25" s="125">
        <f t="shared" ref="C25:C52" si="6">+C24</f>
        <v>700</v>
      </c>
      <c r="D25" s="304">
        <f t="shared" ref="D25:D52" si="7">+D24+C25</f>
        <v>2100</v>
      </c>
      <c r="E25" s="303"/>
      <c r="F25" s="125">
        <f t="shared" si="2"/>
        <v>200</v>
      </c>
      <c r="G25" s="304">
        <f t="shared" si="3"/>
        <v>3600</v>
      </c>
      <c r="H25" s="303"/>
      <c r="I25" s="125">
        <f t="shared" si="4"/>
        <v>66.666666666666671</v>
      </c>
      <c r="J25" s="304">
        <f t="shared" si="5"/>
        <v>1200</v>
      </c>
      <c r="K25" s="303">
        <f t="shared" si="0"/>
        <v>966.66666666666674</v>
      </c>
      <c r="L25" s="304">
        <f t="shared" si="1"/>
        <v>6900</v>
      </c>
      <c r="M25" s="303"/>
      <c r="N25" s="304"/>
    </row>
    <row r="26" spans="1:15" x14ac:dyDescent="0.35">
      <c r="A26" s="117">
        <v>2019</v>
      </c>
      <c r="B26" s="303"/>
      <c r="C26" s="125">
        <f t="shared" si="6"/>
        <v>700</v>
      </c>
      <c r="D26" s="304">
        <f t="shared" si="7"/>
        <v>2800</v>
      </c>
      <c r="E26" s="303"/>
      <c r="F26" s="125">
        <f t="shared" si="2"/>
        <v>200</v>
      </c>
      <c r="G26" s="304">
        <f t="shared" si="3"/>
        <v>3800</v>
      </c>
      <c r="H26" s="303"/>
      <c r="I26" s="125">
        <f t="shared" si="4"/>
        <v>66.666666666666671</v>
      </c>
      <c r="J26" s="304">
        <f t="shared" si="5"/>
        <v>1266.6666666666667</v>
      </c>
      <c r="K26" s="303">
        <f t="shared" si="0"/>
        <v>966.66666666666674</v>
      </c>
      <c r="L26" s="304">
        <f t="shared" si="1"/>
        <v>7866.666666666667</v>
      </c>
      <c r="M26" s="303">
        <f>+'2019 ByMo'!D26-8000</f>
        <v>9009.9099999999962</v>
      </c>
      <c r="N26" s="304">
        <f>+M26-L26</f>
        <v>1143.2433333333292</v>
      </c>
    </row>
    <row r="27" spans="1:15" x14ac:dyDescent="0.35">
      <c r="A27" s="117">
        <v>2020</v>
      </c>
      <c r="B27" s="303"/>
      <c r="C27" s="125">
        <f t="shared" si="6"/>
        <v>700</v>
      </c>
      <c r="D27" s="304">
        <f t="shared" si="7"/>
        <v>3500</v>
      </c>
      <c r="E27" s="303"/>
      <c r="F27" s="125">
        <f t="shared" si="2"/>
        <v>200</v>
      </c>
      <c r="G27" s="304">
        <f t="shared" si="3"/>
        <v>4000</v>
      </c>
      <c r="H27" s="303"/>
      <c r="I27" s="125">
        <f t="shared" si="4"/>
        <v>66.666666666666671</v>
      </c>
      <c r="J27" s="304">
        <f t="shared" si="5"/>
        <v>1333.3333333333335</v>
      </c>
      <c r="K27" s="303">
        <f t="shared" si="0"/>
        <v>966.66666666666674</v>
      </c>
      <c r="L27" s="304">
        <f t="shared" si="1"/>
        <v>8833.3333333333339</v>
      </c>
      <c r="M27" s="303">
        <f>+'2020 ByMo'!D26-'2020 ByMo'!D30-'2020 ByMo'!D31</f>
        <v>9748.0399999999972</v>
      </c>
      <c r="N27" s="304">
        <f>+M27-L27</f>
        <v>914.7066666666633</v>
      </c>
    </row>
    <row r="28" spans="1:15" x14ac:dyDescent="0.35">
      <c r="A28" s="117">
        <v>2021</v>
      </c>
      <c r="B28" s="303"/>
      <c r="C28" s="125">
        <f t="shared" si="6"/>
        <v>700</v>
      </c>
      <c r="D28" s="304">
        <f t="shared" si="7"/>
        <v>4200</v>
      </c>
      <c r="E28" s="303"/>
      <c r="F28" s="125">
        <f t="shared" si="2"/>
        <v>200</v>
      </c>
      <c r="G28" s="304">
        <f t="shared" si="3"/>
        <v>4200</v>
      </c>
      <c r="H28" s="303"/>
      <c r="I28" s="125">
        <f t="shared" si="4"/>
        <v>66.666666666666671</v>
      </c>
      <c r="J28" s="304">
        <f t="shared" si="5"/>
        <v>1400.0000000000002</v>
      </c>
      <c r="K28" s="303">
        <f t="shared" si="0"/>
        <v>966.66666666666674</v>
      </c>
      <c r="L28" s="304">
        <f t="shared" si="1"/>
        <v>9800</v>
      </c>
      <c r="M28" s="303">
        <f>+'2021 ByMo'!D29</f>
        <v>14706.149999999998</v>
      </c>
      <c r="N28" s="304">
        <f>+M28-L28</f>
        <v>4906.1499999999978</v>
      </c>
      <c r="O28" s="437" t="s">
        <v>393</v>
      </c>
    </row>
    <row r="29" spans="1:15" x14ac:dyDescent="0.35">
      <c r="A29" s="117">
        <v>2022</v>
      </c>
      <c r="B29" s="303"/>
      <c r="C29" s="125">
        <f t="shared" si="6"/>
        <v>700</v>
      </c>
      <c r="D29" s="304">
        <f t="shared" si="7"/>
        <v>4900</v>
      </c>
      <c r="E29" s="303"/>
      <c r="F29" s="125">
        <f t="shared" si="2"/>
        <v>200</v>
      </c>
      <c r="G29" s="304">
        <f t="shared" si="3"/>
        <v>4400</v>
      </c>
      <c r="H29" s="303"/>
      <c r="I29" s="125">
        <f t="shared" si="4"/>
        <v>66.666666666666671</v>
      </c>
      <c r="J29" s="304">
        <f t="shared" si="5"/>
        <v>1466.666666666667</v>
      </c>
      <c r="K29" s="303">
        <f t="shared" si="0"/>
        <v>966.66666666666674</v>
      </c>
      <c r="L29" s="304">
        <f>+G29+J29+D29</f>
        <v>10766.666666666668</v>
      </c>
      <c r="M29" s="303">
        <f>+'2022 ByMo'!D28</f>
        <v>10767</v>
      </c>
      <c r="N29" s="304">
        <f>+M29-L29</f>
        <v>0.33333333333212067</v>
      </c>
    </row>
    <row r="30" spans="1:15" x14ac:dyDescent="0.35">
      <c r="A30" s="117">
        <v>2023</v>
      </c>
      <c r="B30" s="303"/>
      <c r="C30" s="125">
        <f t="shared" si="6"/>
        <v>700</v>
      </c>
      <c r="D30" s="304">
        <f t="shared" si="7"/>
        <v>5600</v>
      </c>
      <c r="E30" s="303"/>
      <c r="F30" s="125">
        <f t="shared" si="2"/>
        <v>200</v>
      </c>
      <c r="G30" s="304">
        <f t="shared" si="3"/>
        <v>4600</v>
      </c>
      <c r="H30" s="303"/>
      <c r="I30" s="125">
        <f t="shared" si="4"/>
        <v>66.666666666666671</v>
      </c>
      <c r="J30" s="304">
        <f t="shared" si="5"/>
        <v>1533.3333333333337</v>
      </c>
      <c r="K30" s="303">
        <f t="shared" si="0"/>
        <v>966.66666666666674</v>
      </c>
      <c r="L30" s="304">
        <f t="shared" si="1"/>
        <v>11733.333333333334</v>
      </c>
      <c r="M30" s="303"/>
      <c r="N30" s="412"/>
    </row>
    <row r="31" spans="1:15" x14ac:dyDescent="0.35">
      <c r="A31" s="117">
        <v>2024</v>
      </c>
      <c r="B31" s="303"/>
      <c r="C31" s="125">
        <f t="shared" si="6"/>
        <v>700</v>
      </c>
      <c r="D31" s="304">
        <f t="shared" si="7"/>
        <v>6300</v>
      </c>
      <c r="E31" s="303"/>
      <c r="F31" s="125">
        <f t="shared" si="2"/>
        <v>200</v>
      </c>
      <c r="G31" s="304">
        <f t="shared" si="3"/>
        <v>4800</v>
      </c>
      <c r="H31" s="303"/>
      <c r="I31" s="125">
        <f t="shared" si="4"/>
        <v>66.666666666666671</v>
      </c>
      <c r="J31" s="304">
        <f t="shared" si="5"/>
        <v>1600.0000000000005</v>
      </c>
      <c r="K31" s="303">
        <f t="shared" si="0"/>
        <v>966.66666666666674</v>
      </c>
      <c r="L31" s="304">
        <f t="shared" si="1"/>
        <v>12700</v>
      </c>
      <c r="M31" s="303"/>
      <c r="N31" s="412"/>
    </row>
    <row r="32" spans="1:15" x14ac:dyDescent="0.35">
      <c r="A32" s="117">
        <v>2025</v>
      </c>
      <c r="B32" s="303"/>
      <c r="C32" s="125">
        <f t="shared" si="6"/>
        <v>700</v>
      </c>
      <c r="D32" s="304">
        <f t="shared" si="7"/>
        <v>7000</v>
      </c>
      <c r="E32" s="303"/>
      <c r="F32" s="125">
        <f t="shared" si="2"/>
        <v>200</v>
      </c>
      <c r="G32" s="304">
        <f t="shared" si="3"/>
        <v>5000</v>
      </c>
      <c r="H32" s="303"/>
      <c r="I32" s="125">
        <f t="shared" si="4"/>
        <v>66.666666666666671</v>
      </c>
      <c r="J32" s="304">
        <f t="shared" si="5"/>
        <v>1666.6666666666672</v>
      </c>
      <c r="K32" s="303">
        <f t="shared" si="0"/>
        <v>966.66666666666674</v>
      </c>
      <c r="L32" s="304">
        <f t="shared" si="1"/>
        <v>13666.666666666668</v>
      </c>
      <c r="M32" s="303"/>
      <c r="N32" s="412"/>
    </row>
    <row r="33" spans="1:14" x14ac:dyDescent="0.35">
      <c r="A33" s="117">
        <v>2026</v>
      </c>
      <c r="B33" s="303"/>
      <c r="C33" s="125">
        <f t="shared" si="6"/>
        <v>700</v>
      </c>
      <c r="D33" s="304">
        <f t="shared" si="7"/>
        <v>7700</v>
      </c>
      <c r="E33" s="303"/>
      <c r="F33" s="125">
        <f t="shared" si="2"/>
        <v>200</v>
      </c>
      <c r="G33" s="304">
        <f t="shared" si="3"/>
        <v>5200</v>
      </c>
      <c r="H33" s="303"/>
      <c r="I33" s="125">
        <f t="shared" si="4"/>
        <v>66.666666666666671</v>
      </c>
      <c r="J33" s="304">
        <f t="shared" si="5"/>
        <v>1733.3333333333339</v>
      </c>
      <c r="K33" s="303">
        <f t="shared" si="0"/>
        <v>966.66666666666674</v>
      </c>
      <c r="L33" s="304">
        <f t="shared" si="1"/>
        <v>14633.333333333334</v>
      </c>
      <c r="M33" s="303"/>
      <c r="N33" s="412"/>
    </row>
    <row r="34" spans="1:14" x14ac:dyDescent="0.35">
      <c r="A34" s="117">
        <v>2027</v>
      </c>
      <c r="B34" s="303"/>
      <c r="C34" s="125">
        <f t="shared" si="6"/>
        <v>700</v>
      </c>
      <c r="D34" s="304">
        <f t="shared" si="7"/>
        <v>8400</v>
      </c>
      <c r="E34" s="303"/>
      <c r="F34" s="125">
        <f t="shared" si="2"/>
        <v>200</v>
      </c>
      <c r="G34" s="304">
        <f t="shared" si="3"/>
        <v>5400</v>
      </c>
      <c r="H34" s="303"/>
      <c r="I34" s="125">
        <f t="shared" si="4"/>
        <v>66.666666666666671</v>
      </c>
      <c r="J34" s="304">
        <f t="shared" si="5"/>
        <v>1800.0000000000007</v>
      </c>
      <c r="K34" s="303">
        <f t="shared" si="0"/>
        <v>966.66666666666674</v>
      </c>
      <c r="L34" s="304">
        <f t="shared" si="1"/>
        <v>15600</v>
      </c>
      <c r="M34" s="303"/>
      <c r="N34" s="412"/>
    </row>
    <row r="35" spans="1:14" x14ac:dyDescent="0.35">
      <c r="A35" s="117">
        <v>2028</v>
      </c>
      <c r="B35" s="303"/>
      <c r="C35" s="125">
        <f t="shared" si="6"/>
        <v>700</v>
      </c>
      <c r="D35" s="304">
        <f t="shared" si="7"/>
        <v>9100</v>
      </c>
      <c r="E35" s="303"/>
      <c r="F35" s="125">
        <f t="shared" si="2"/>
        <v>200</v>
      </c>
      <c r="G35" s="304">
        <f t="shared" si="3"/>
        <v>5600</v>
      </c>
      <c r="H35" s="303"/>
      <c r="I35" s="125">
        <f t="shared" si="4"/>
        <v>66.666666666666671</v>
      </c>
      <c r="J35" s="304">
        <f t="shared" si="5"/>
        <v>1866.6666666666674</v>
      </c>
      <c r="K35" s="303">
        <f t="shared" si="0"/>
        <v>966.66666666666674</v>
      </c>
      <c r="L35" s="304">
        <f t="shared" si="1"/>
        <v>16566.666666666668</v>
      </c>
      <c r="M35" s="303"/>
      <c r="N35" s="412"/>
    </row>
    <row r="36" spans="1:14" x14ac:dyDescent="0.35">
      <c r="A36" s="117">
        <v>2029</v>
      </c>
      <c r="B36" s="303"/>
      <c r="C36" s="125">
        <f t="shared" si="6"/>
        <v>700</v>
      </c>
      <c r="D36" s="304">
        <f t="shared" si="7"/>
        <v>9800</v>
      </c>
      <c r="E36" s="303"/>
      <c r="F36" s="125">
        <f t="shared" si="2"/>
        <v>200</v>
      </c>
      <c r="G36" s="304">
        <f t="shared" si="3"/>
        <v>5800</v>
      </c>
      <c r="H36" s="303"/>
      <c r="I36" s="125">
        <f t="shared" si="4"/>
        <v>66.666666666666671</v>
      </c>
      <c r="J36" s="304">
        <f t="shared" si="5"/>
        <v>1933.3333333333342</v>
      </c>
      <c r="K36" s="303">
        <f t="shared" si="0"/>
        <v>966.66666666666674</v>
      </c>
      <c r="L36" s="304">
        <f t="shared" si="1"/>
        <v>17533.333333333336</v>
      </c>
      <c r="M36" s="303"/>
      <c r="N36" s="412"/>
    </row>
    <row r="37" spans="1:14" x14ac:dyDescent="0.35">
      <c r="A37" s="117">
        <v>2030</v>
      </c>
      <c r="B37" s="303"/>
      <c r="C37" s="125">
        <f t="shared" si="6"/>
        <v>700</v>
      </c>
      <c r="D37" s="304">
        <f t="shared" si="7"/>
        <v>10500</v>
      </c>
      <c r="E37" s="303"/>
      <c r="F37" s="125">
        <f>+F36</f>
        <v>200</v>
      </c>
      <c r="G37" s="304">
        <f t="shared" si="3"/>
        <v>6000</v>
      </c>
      <c r="H37" s="303"/>
      <c r="I37" s="125">
        <f t="shared" si="4"/>
        <v>66.666666666666671</v>
      </c>
      <c r="J37" s="304">
        <f t="shared" si="5"/>
        <v>2000.0000000000009</v>
      </c>
      <c r="K37" s="303">
        <f t="shared" si="0"/>
        <v>966.66666666666674</v>
      </c>
      <c r="L37" s="304">
        <f t="shared" si="1"/>
        <v>18500</v>
      </c>
      <c r="M37" s="303"/>
      <c r="N37" s="412"/>
    </row>
    <row r="38" spans="1:14" x14ac:dyDescent="0.35">
      <c r="A38" s="117">
        <v>2031</v>
      </c>
      <c r="B38" s="303"/>
      <c r="C38" s="125">
        <f t="shared" si="6"/>
        <v>700</v>
      </c>
      <c r="D38" s="304">
        <f t="shared" si="7"/>
        <v>11200</v>
      </c>
      <c r="E38" s="303"/>
      <c r="F38" s="125">
        <f t="shared" ref="F38:F47" si="8">+F37</f>
        <v>200</v>
      </c>
      <c r="G38" s="304">
        <f t="shared" ref="G38:G47" si="9">+F38+G37</f>
        <v>6200</v>
      </c>
      <c r="H38" s="303"/>
      <c r="I38" s="125"/>
      <c r="J38" s="304"/>
      <c r="K38" s="303">
        <f t="shared" si="0"/>
        <v>900</v>
      </c>
      <c r="L38" s="304">
        <f t="shared" si="1"/>
        <v>17400</v>
      </c>
      <c r="M38" s="303"/>
      <c r="N38" s="412"/>
    </row>
    <row r="39" spans="1:14" x14ac:dyDescent="0.35">
      <c r="A39" s="117">
        <v>2032</v>
      </c>
      <c r="B39" s="303"/>
      <c r="C39" s="125">
        <f t="shared" si="6"/>
        <v>700</v>
      </c>
      <c r="D39" s="304">
        <f t="shared" si="7"/>
        <v>11900</v>
      </c>
      <c r="E39" s="303"/>
      <c r="F39" s="125">
        <f t="shared" si="8"/>
        <v>200</v>
      </c>
      <c r="G39" s="304">
        <f t="shared" si="9"/>
        <v>6400</v>
      </c>
      <c r="H39" s="303"/>
      <c r="I39" s="125"/>
      <c r="J39" s="304"/>
      <c r="K39" s="303">
        <f t="shared" si="0"/>
        <v>900</v>
      </c>
      <c r="L39" s="304">
        <f t="shared" si="1"/>
        <v>18300</v>
      </c>
      <c r="M39" s="303"/>
      <c r="N39" s="412"/>
    </row>
    <row r="40" spans="1:14" x14ac:dyDescent="0.35">
      <c r="A40" s="117">
        <v>2033</v>
      </c>
      <c r="B40" s="303"/>
      <c r="C40" s="125">
        <f t="shared" si="6"/>
        <v>700</v>
      </c>
      <c r="D40" s="304">
        <f t="shared" si="7"/>
        <v>12600</v>
      </c>
      <c r="E40" s="303"/>
      <c r="F40" s="125">
        <f t="shared" si="8"/>
        <v>200</v>
      </c>
      <c r="G40" s="304">
        <f t="shared" si="9"/>
        <v>6600</v>
      </c>
      <c r="H40" s="303"/>
      <c r="I40" s="125"/>
      <c r="J40" s="304"/>
      <c r="K40" s="303">
        <f t="shared" si="0"/>
        <v>900</v>
      </c>
      <c r="L40" s="304">
        <f t="shared" si="1"/>
        <v>19200</v>
      </c>
      <c r="M40" s="303"/>
      <c r="N40" s="412"/>
    </row>
    <row r="41" spans="1:14" x14ac:dyDescent="0.35">
      <c r="A41" s="117">
        <v>2034</v>
      </c>
      <c r="B41" s="303"/>
      <c r="C41" s="125">
        <f t="shared" si="6"/>
        <v>700</v>
      </c>
      <c r="D41" s="304">
        <f t="shared" si="7"/>
        <v>13300</v>
      </c>
      <c r="E41" s="303"/>
      <c r="F41" s="125">
        <f t="shared" si="8"/>
        <v>200</v>
      </c>
      <c r="G41" s="304">
        <f t="shared" si="9"/>
        <v>6800</v>
      </c>
      <c r="H41" s="303"/>
      <c r="I41" s="125"/>
      <c r="J41" s="304"/>
      <c r="K41" s="303">
        <f t="shared" si="0"/>
        <v>900</v>
      </c>
      <c r="L41" s="304">
        <f t="shared" si="1"/>
        <v>20100</v>
      </c>
      <c r="M41" s="303"/>
      <c r="N41" s="412"/>
    </row>
    <row r="42" spans="1:14" x14ac:dyDescent="0.35">
      <c r="A42" s="117">
        <v>2035</v>
      </c>
      <c r="B42" s="303"/>
      <c r="C42" s="125">
        <f t="shared" si="6"/>
        <v>700</v>
      </c>
      <c r="D42" s="304">
        <f t="shared" si="7"/>
        <v>14000</v>
      </c>
      <c r="E42" s="303"/>
      <c r="F42" s="125">
        <f t="shared" si="8"/>
        <v>200</v>
      </c>
      <c r="G42" s="304">
        <f t="shared" si="9"/>
        <v>7000</v>
      </c>
      <c r="H42" s="303"/>
      <c r="I42" s="125"/>
      <c r="J42" s="304"/>
      <c r="K42" s="303">
        <f t="shared" si="0"/>
        <v>900</v>
      </c>
      <c r="L42" s="304">
        <f t="shared" si="1"/>
        <v>21000</v>
      </c>
      <c r="M42" s="303"/>
      <c r="N42" s="412"/>
    </row>
    <row r="43" spans="1:14" x14ac:dyDescent="0.35">
      <c r="A43" s="117">
        <v>2036</v>
      </c>
      <c r="B43" s="303"/>
      <c r="C43" s="125">
        <f t="shared" si="6"/>
        <v>700</v>
      </c>
      <c r="D43" s="304">
        <f t="shared" si="7"/>
        <v>14700</v>
      </c>
      <c r="E43" s="303"/>
      <c r="F43" s="125">
        <f t="shared" si="8"/>
        <v>200</v>
      </c>
      <c r="G43" s="304">
        <f t="shared" si="9"/>
        <v>7200</v>
      </c>
      <c r="H43" s="303"/>
      <c r="I43" s="125"/>
      <c r="J43" s="304"/>
      <c r="K43" s="303">
        <f t="shared" si="0"/>
        <v>900</v>
      </c>
      <c r="L43" s="304">
        <f t="shared" si="1"/>
        <v>21900</v>
      </c>
      <c r="M43" s="303"/>
      <c r="N43" s="412"/>
    </row>
    <row r="44" spans="1:14" x14ac:dyDescent="0.35">
      <c r="A44" s="117">
        <v>2037</v>
      </c>
      <c r="B44" s="303"/>
      <c r="C44" s="125">
        <f t="shared" si="6"/>
        <v>700</v>
      </c>
      <c r="D44" s="304">
        <f t="shared" si="7"/>
        <v>15400</v>
      </c>
      <c r="E44" s="303"/>
      <c r="F44" s="125">
        <f t="shared" si="8"/>
        <v>200</v>
      </c>
      <c r="G44" s="304">
        <f t="shared" si="9"/>
        <v>7400</v>
      </c>
      <c r="H44" s="303"/>
      <c r="I44" s="125"/>
      <c r="J44" s="304"/>
      <c r="K44" s="303">
        <f t="shared" si="0"/>
        <v>900</v>
      </c>
      <c r="L44" s="304">
        <f t="shared" si="1"/>
        <v>22800</v>
      </c>
      <c r="M44" s="303"/>
      <c r="N44" s="412"/>
    </row>
    <row r="45" spans="1:14" x14ac:dyDescent="0.35">
      <c r="A45" s="117">
        <v>2038</v>
      </c>
      <c r="B45" s="303"/>
      <c r="C45" s="125">
        <f t="shared" si="6"/>
        <v>700</v>
      </c>
      <c r="D45" s="304">
        <f t="shared" si="7"/>
        <v>16100</v>
      </c>
      <c r="E45" s="303"/>
      <c r="F45" s="125">
        <f t="shared" si="8"/>
        <v>200</v>
      </c>
      <c r="G45" s="304">
        <f t="shared" si="9"/>
        <v>7600</v>
      </c>
      <c r="H45" s="303"/>
      <c r="I45" s="125"/>
      <c r="J45" s="304"/>
      <c r="K45" s="303">
        <f t="shared" si="0"/>
        <v>900</v>
      </c>
      <c r="L45" s="304">
        <f t="shared" si="1"/>
        <v>23700</v>
      </c>
      <c r="M45" s="303"/>
      <c r="N45" s="412"/>
    </row>
    <row r="46" spans="1:14" x14ac:dyDescent="0.35">
      <c r="A46" s="117">
        <v>2039</v>
      </c>
      <c r="B46" s="303"/>
      <c r="C46" s="125">
        <f t="shared" si="6"/>
        <v>700</v>
      </c>
      <c r="D46" s="304">
        <f t="shared" si="7"/>
        <v>16800</v>
      </c>
      <c r="E46" s="303"/>
      <c r="F46" s="125">
        <f t="shared" si="8"/>
        <v>200</v>
      </c>
      <c r="G46" s="304">
        <f t="shared" si="9"/>
        <v>7800</v>
      </c>
      <c r="H46" s="303"/>
      <c r="I46" s="125"/>
      <c r="J46" s="304"/>
      <c r="K46" s="303">
        <f t="shared" si="0"/>
        <v>900</v>
      </c>
      <c r="L46" s="304">
        <f t="shared" si="1"/>
        <v>24600</v>
      </c>
      <c r="M46" s="303"/>
      <c r="N46" s="412"/>
    </row>
    <row r="47" spans="1:14" x14ac:dyDescent="0.35">
      <c r="A47" s="117">
        <v>2040</v>
      </c>
      <c r="B47" s="303"/>
      <c r="C47" s="125">
        <f t="shared" si="6"/>
        <v>700</v>
      </c>
      <c r="D47" s="304">
        <f t="shared" si="7"/>
        <v>17500</v>
      </c>
      <c r="E47" s="303"/>
      <c r="F47" s="125">
        <f t="shared" si="8"/>
        <v>200</v>
      </c>
      <c r="G47" s="304">
        <f t="shared" si="9"/>
        <v>8000</v>
      </c>
      <c r="H47" s="303"/>
      <c r="I47" s="125"/>
      <c r="J47" s="304"/>
      <c r="K47" s="303">
        <f t="shared" si="0"/>
        <v>900</v>
      </c>
      <c r="L47" s="304">
        <f t="shared" si="1"/>
        <v>25500</v>
      </c>
      <c r="M47" s="303"/>
      <c r="N47" s="412"/>
    </row>
    <row r="48" spans="1:14" x14ac:dyDescent="0.35">
      <c r="A48" s="117">
        <v>2041</v>
      </c>
      <c r="B48" s="303"/>
      <c r="C48" s="125">
        <f t="shared" si="6"/>
        <v>700</v>
      </c>
      <c r="D48" s="304">
        <f t="shared" si="7"/>
        <v>18200</v>
      </c>
      <c r="E48" s="303"/>
      <c r="F48" s="125"/>
      <c r="G48" s="304"/>
      <c r="H48" s="303"/>
      <c r="I48" s="125"/>
      <c r="J48" s="304"/>
      <c r="K48" s="303">
        <f t="shared" si="0"/>
        <v>700</v>
      </c>
      <c r="L48" s="304">
        <f t="shared" si="1"/>
        <v>18200</v>
      </c>
      <c r="M48" s="303"/>
      <c r="N48" s="412"/>
    </row>
    <row r="49" spans="1:14" x14ac:dyDescent="0.35">
      <c r="A49" s="117">
        <v>2042</v>
      </c>
      <c r="B49" s="303"/>
      <c r="C49" s="125">
        <f t="shared" si="6"/>
        <v>700</v>
      </c>
      <c r="D49" s="304">
        <f t="shared" si="7"/>
        <v>18900</v>
      </c>
      <c r="E49" s="303"/>
      <c r="F49" s="125"/>
      <c r="G49" s="304"/>
      <c r="H49" s="303"/>
      <c r="I49" s="125"/>
      <c r="J49" s="304"/>
      <c r="K49" s="303">
        <f t="shared" si="0"/>
        <v>700</v>
      </c>
      <c r="L49" s="304">
        <f t="shared" si="1"/>
        <v>18900</v>
      </c>
      <c r="M49" s="303"/>
      <c r="N49" s="412"/>
    </row>
    <row r="50" spans="1:14" x14ac:dyDescent="0.35">
      <c r="A50" s="117">
        <v>2043</v>
      </c>
      <c r="B50" s="303"/>
      <c r="C50" s="125">
        <f t="shared" si="6"/>
        <v>700</v>
      </c>
      <c r="D50" s="304">
        <f t="shared" si="7"/>
        <v>19600</v>
      </c>
      <c r="E50" s="303"/>
      <c r="F50" s="125"/>
      <c r="G50" s="304"/>
      <c r="H50" s="303"/>
      <c r="I50" s="125"/>
      <c r="J50" s="304"/>
      <c r="K50" s="303">
        <f t="shared" si="0"/>
        <v>700</v>
      </c>
      <c r="L50" s="304">
        <f t="shared" si="1"/>
        <v>19600</v>
      </c>
      <c r="M50" s="303"/>
      <c r="N50" s="412"/>
    </row>
    <row r="51" spans="1:14" x14ac:dyDescent="0.35">
      <c r="A51" s="117">
        <v>2044</v>
      </c>
      <c r="B51" s="303"/>
      <c r="C51" s="125">
        <f t="shared" si="6"/>
        <v>700</v>
      </c>
      <c r="D51" s="304">
        <f t="shared" si="7"/>
        <v>20300</v>
      </c>
      <c r="E51" s="303"/>
      <c r="F51" s="125"/>
      <c r="G51" s="304"/>
      <c r="H51" s="303"/>
      <c r="I51" s="125"/>
      <c r="J51" s="304"/>
      <c r="K51" s="303">
        <f t="shared" si="0"/>
        <v>700</v>
      </c>
      <c r="L51" s="304">
        <f t="shared" si="1"/>
        <v>20300</v>
      </c>
      <c r="M51" s="303"/>
      <c r="N51" s="412"/>
    </row>
    <row r="52" spans="1:14" ht="15" thickBot="1" x14ac:dyDescent="0.4">
      <c r="A52" s="117">
        <v>2045</v>
      </c>
      <c r="B52" s="305"/>
      <c r="C52" s="306">
        <f t="shared" si="6"/>
        <v>700</v>
      </c>
      <c r="D52" s="307">
        <f t="shared" si="7"/>
        <v>21000</v>
      </c>
      <c r="E52" s="305"/>
      <c r="F52" s="306"/>
      <c r="G52" s="307"/>
      <c r="H52" s="305"/>
      <c r="I52" s="306"/>
      <c r="J52" s="307"/>
      <c r="K52" s="305">
        <f t="shared" si="0"/>
        <v>700</v>
      </c>
      <c r="L52" s="307">
        <f t="shared" si="1"/>
        <v>21000</v>
      </c>
      <c r="M52" s="305"/>
      <c r="N52" s="413"/>
    </row>
    <row r="53" spans="1:14" x14ac:dyDescent="0.35">
      <c r="C53" s="296"/>
      <c r="D53" s="296"/>
    </row>
    <row r="54" spans="1:14" ht="15.5" x14ac:dyDescent="0.35">
      <c r="A54" s="94" t="s">
        <v>327</v>
      </c>
      <c r="C54" s="296"/>
      <c r="D54" s="296"/>
    </row>
    <row r="55" spans="1:14" x14ac:dyDescent="0.35">
      <c r="C55" s="296"/>
      <c r="D55" s="296"/>
    </row>
    <row r="56" spans="1:14" x14ac:dyDescent="0.35">
      <c r="C56" s="296"/>
      <c r="D56" s="296"/>
    </row>
  </sheetData>
  <mergeCells count="7">
    <mergeCell ref="M2:M6"/>
    <mergeCell ref="N2:N6"/>
    <mergeCell ref="B2:D2"/>
    <mergeCell ref="E2:G2"/>
    <mergeCell ref="H2:J2"/>
    <mergeCell ref="L2:L6"/>
    <mergeCell ref="K2:K6"/>
  </mergeCells>
  <pageMargins left="0.7" right="0.7" top="0.75" bottom="0.75" header="0.3" footer="0.3"/>
  <pageSetup scale="80" orientation="portrait" horizontalDpi="4294967293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2" tint="-0.499984740745262"/>
  </sheetPr>
  <dimension ref="A1:I217"/>
  <sheetViews>
    <sheetView showGridLines="0" zoomScaleNormal="100" workbookViewId="0">
      <selection activeCell="N13" sqref="N13"/>
    </sheetView>
  </sheetViews>
  <sheetFormatPr defaultColWidth="8.6328125" defaultRowHeight="15.5" x14ac:dyDescent="0.35"/>
  <cols>
    <col min="1" max="1" width="13.6328125" style="1" customWidth="1"/>
    <col min="2" max="2" width="32.54296875" style="1" customWidth="1"/>
    <col min="3" max="3" width="15.54296875" style="2" customWidth="1"/>
    <col min="4" max="4" width="3.54296875" style="7" customWidth="1"/>
    <col min="5" max="7" width="14.6328125" style="9" customWidth="1"/>
    <col min="8" max="9" width="14.6328125" style="1" customWidth="1"/>
    <col min="10" max="16384" width="8.6328125" style="1"/>
  </cols>
  <sheetData>
    <row r="1" spans="1:9" ht="15.75" customHeight="1" x14ac:dyDescent="0.35">
      <c r="C1" s="93" t="s">
        <v>62</v>
      </c>
      <c r="D1" s="1"/>
      <c r="E1" s="546" t="s">
        <v>173</v>
      </c>
      <c r="F1" s="547"/>
      <c r="G1" s="547"/>
      <c r="H1" s="547"/>
      <c r="I1" s="548"/>
    </row>
    <row r="2" spans="1:9" ht="16.5" customHeight="1" x14ac:dyDescent="0.35">
      <c r="C2" s="84">
        <v>2019</v>
      </c>
      <c r="D2" s="60"/>
      <c r="E2" s="65">
        <v>2014</v>
      </c>
      <c r="F2" s="65">
        <v>2015</v>
      </c>
      <c r="G2" s="65">
        <v>2016</v>
      </c>
      <c r="H2" s="75">
        <v>2017</v>
      </c>
      <c r="I2" s="75">
        <v>2018</v>
      </c>
    </row>
    <row r="3" spans="1:9" x14ac:dyDescent="0.35">
      <c r="A3" s="1" t="s">
        <v>57</v>
      </c>
      <c r="C3" s="85">
        <f>+I35</f>
        <v>23220.43</v>
      </c>
      <c r="D3" s="61"/>
      <c r="E3" s="66"/>
      <c r="F3" s="74">
        <f>+E35</f>
        <v>29680.61</v>
      </c>
      <c r="G3" s="74">
        <f>+F35</f>
        <v>16604.89</v>
      </c>
      <c r="H3" s="74">
        <f>+G35</f>
        <v>19525.98</v>
      </c>
      <c r="I3" s="74">
        <f>+H35</f>
        <v>19783.099999999999</v>
      </c>
    </row>
    <row r="4" spans="1:9" x14ac:dyDescent="0.35">
      <c r="A4" s="1" t="s">
        <v>58</v>
      </c>
      <c r="C4" s="86">
        <f>+C5-C3</f>
        <v>149.63999999999942</v>
      </c>
      <c r="D4" s="62"/>
      <c r="E4" s="67"/>
      <c r="F4" s="67">
        <f>+F5-F3</f>
        <v>534.59999999999854</v>
      </c>
      <c r="G4" s="67">
        <f>+G5-G3</f>
        <v>-1063</v>
      </c>
      <c r="H4" s="67">
        <f>+H5-H3</f>
        <v>257.11999999999898</v>
      </c>
      <c r="I4" s="79">
        <f>+I5-I3</f>
        <v>3377</v>
      </c>
    </row>
    <row r="5" spans="1:9" x14ac:dyDescent="0.35">
      <c r="A5" s="37" t="s">
        <v>1</v>
      </c>
      <c r="B5" s="38"/>
      <c r="C5" s="87">
        <v>23370.07</v>
      </c>
      <c r="D5" s="63"/>
      <c r="E5" s="68">
        <v>26785.94</v>
      </c>
      <c r="F5" s="68">
        <v>30215.21</v>
      </c>
      <c r="G5" s="68">
        <v>15541.89</v>
      </c>
      <c r="H5" s="76">
        <v>19783.099999999999</v>
      </c>
      <c r="I5" s="68">
        <v>23160.1</v>
      </c>
    </row>
    <row r="6" spans="1:9" x14ac:dyDescent="0.35">
      <c r="A6" s="37"/>
      <c r="B6" s="38"/>
      <c r="C6" s="87"/>
      <c r="D6" s="63"/>
      <c r="E6" s="68"/>
      <c r="F6" s="68"/>
      <c r="G6" s="68"/>
      <c r="H6" s="76"/>
      <c r="I6" s="68"/>
    </row>
    <row r="7" spans="1:9" x14ac:dyDescent="0.35">
      <c r="A7" s="24" t="s">
        <v>59</v>
      </c>
      <c r="B7" s="38"/>
      <c r="C7" s="87"/>
      <c r="D7" s="63"/>
      <c r="E7" s="68"/>
      <c r="F7" s="68"/>
      <c r="G7" s="68"/>
      <c r="H7" s="76"/>
      <c r="I7" s="68"/>
    </row>
    <row r="8" spans="1:9" ht="18.5" x14ac:dyDescent="0.65">
      <c r="A8" s="1" t="s">
        <v>63</v>
      </c>
      <c r="C8" s="88">
        <v>12000</v>
      </c>
      <c r="D8" s="64"/>
      <c r="E8" s="69">
        <v>12000</v>
      </c>
      <c r="F8" s="69">
        <v>12000</v>
      </c>
      <c r="G8" s="69">
        <v>12000</v>
      </c>
      <c r="H8" s="77"/>
      <c r="I8" s="80">
        <v>12000</v>
      </c>
    </row>
    <row r="9" spans="1:9" x14ac:dyDescent="0.35">
      <c r="A9" s="94" t="s">
        <v>49</v>
      </c>
      <c r="C9" s="89">
        <f>+C8</f>
        <v>12000</v>
      </c>
      <c r="D9" s="23"/>
      <c r="E9" s="70">
        <f>+E8</f>
        <v>12000</v>
      </c>
      <c r="F9" s="70">
        <f>+F8</f>
        <v>12000</v>
      </c>
      <c r="G9" s="70">
        <f>+G8</f>
        <v>12000</v>
      </c>
      <c r="H9" s="70">
        <f>+H8</f>
        <v>0</v>
      </c>
      <c r="I9" s="70">
        <f>+I8</f>
        <v>12000</v>
      </c>
    </row>
    <row r="10" spans="1:9" x14ac:dyDescent="0.35">
      <c r="C10" s="89"/>
      <c r="D10" s="23"/>
      <c r="E10" s="71"/>
      <c r="F10" s="71"/>
      <c r="G10" s="71"/>
      <c r="H10" s="78"/>
      <c r="I10" s="81"/>
    </row>
    <row r="11" spans="1:9" x14ac:dyDescent="0.35">
      <c r="A11" s="24" t="s">
        <v>3</v>
      </c>
      <c r="C11" s="89"/>
      <c r="D11" s="23"/>
      <c r="E11" s="71"/>
      <c r="F11" s="71"/>
      <c r="G11" s="71"/>
      <c r="H11" s="78"/>
      <c r="I11" s="81"/>
    </row>
    <row r="12" spans="1:9" x14ac:dyDescent="0.35">
      <c r="A12" s="1" t="s">
        <v>48</v>
      </c>
      <c r="B12" s="1" t="s">
        <v>5</v>
      </c>
      <c r="C12" s="89">
        <v>780</v>
      </c>
      <c r="D12" s="23"/>
      <c r="E12" s="71">
        <v>550</v>
      </c>
      <c r="F12" s="71">
        <v>550</v>
      </c>
      <c r="G12" s="71">
        <v>587.04</v>
      </c>
      <c r="H12" s="78"/>
      <c r="I12" s="81">
        <v>702</v>
      </c>
    </row>
    <row r="13" spans="1:9" x14ac:dyDescent="0.35">
      <c r="C13" s="89"/>
      <c r="D13" s="23"/>
      <c r="E13" s="71"/>
      <c r="F13" s="71"/>
      <c r="G13" s="71"/>
      <c r="H13" s="78"/>
      <c r="I13" s="82"/>
    </row>
    <row r="14" spans="1:9" x14ac:dyDescent="0.35">
      <c r="A14" s="1" t="s">
        <v>47</v>
      </c>
      <c r="B14" s="1" t="s">
        <v>7</v>
      </c>
      <c r="C14" s="89">
        <v>10200</v>
      </c>
      <c r="D14" s="23"/>
      <c r="E14" s="71">
        <v>6231.32</v>
      </c>
      <c r="F14" s="71">
        <v>6231.32</v>
      </c>
      <c r="G14" s="71">
        <v>6571.38</v>
      </c>
      <c r="H14" s="78"/>
      <c r="I14" s="82">
        <v>9868.4599999999991</v>
      </c>
    </row>
    <row r="15" spans="1:9" x14ac:dyDescent="0.35">
      <c r="B15" s="1" t="s">
        <v>29</v>
      </c>
      <c r="C15" s="89">
        <v>3000</v>
      </c>
      <c r="D15" s="23"/>
      <c r="E15" s="71"/>
      <c r="F15" s="71"/>
      <c r="G15" s="71"/>
      <c r="H15" s="78"/>
      <c r="I15" s="82"/>
    </row>
    <row r="16" spans="1:9" x14ac:dyDescent="0.35">
      <c r="B16" s="1" t="s">
        <v>8</v>
      </c>
      <c r="C16" s="89">
        <v>1250</v>
      </c>
      <c r="D16" s="23"/>
      <c r="E16" s="71">
        <v>500</v>
      </c>
      <c r="F16" s="71">
        <v>500</v>
      </c>
      <c r="G16" s="71"/>
      <c r="H16" s="78"/>
      <c r="I16" s="82">
        <v>0</v>
      </c>
    </row>
    <row r="17" spans="1:9" x14ac:dyDescent="0.35">
      <c r="B17" s="1" t="s">
        <v>9</v>
      </c>
      <c r="C17" s="89">
        <v>1000</v>
      </c>
      <c r="D17" s="23"/>
      <c r="E17" s="71">
        <v>300</v>
      </c>
      <c r="F17" s="71">
        <v>250</v>
      </c>
      <c r="G17" s="71">
        <v>0</v>
      </c>
      <c r="H17" s="78"/>
      <c r="I17" s="82">
        <v>0</v>
      </c>
    </row>
    <row r="18" spans="1:9" x14ac:dyDescent="0.35">
      <c r="B18" s="1" t="s">
        <v>10</v>
      </c>
      <c r="C18" s="89"/>
      <c r="D18" s="23"/>
      <c r="E18" s="71"/>
      <c r="F18" s="71">
        <v>17850</v>
      </c>
      <c r="G18" s="71"/>
      <c r="H18" s="78"/>
      <c r="I18" s="82"/>
    </row>
    <row r="19" spans="1:9" x14ac:dyDescent="0.35">
      <c r="C19" s="89"/>
      <c r="D19" s="23"/>
      <c r="E19" s="71"/>
      <c r="F19" s="71"/>
      <c r="G19" s="71"/>
      <c r="H19" s="78"/>
      <c r="I19" s="82"/>
    </row>
    <row r="20" spans="1:9" x14ac:dyDescent="0.35">
      <c r="A20" s="1" t="s">
        <v>46</v>
      </c>
      <c r="B20" s="1" t="s">
        <v>12</v>
      </c>
      <c r="C20" s="89">
        <v>65</v>
      </c>
      <c r="D20" s="23"/>
      <c r="E20" s="71"/>
      <c r="F20" s="71"/>
      <c r="G20" s="71">
        <v>78</v>
      </c>
      <c r="H20" s="78"/>
      <c r="I20" s="82">
        <v>64.3</v>
      </c>
    </row>
    <row r="21" spans="1:9" x14ac:dyDescent="0.35">
      <c r="B21" s="1" t="s">
        <v>13</v>
      </c>
      <c r="C21" s="89">
        <v>40</v>
      </c>
      <c r="D21" s="23"/>
      <c r="E21" s="71"/>
      <c r="F21" s="71"/>
      <c r="G21" s="71" t="s">
        <v>14</v>
      </c>
      <c r="H21" s="78"/>
      <c r="I21" s="82"/>
    </row>
    <row r="22" spans="1:9" x14ac:dyDescent="0.35">
      <c r="C22" s="89"/>
      <c r="D22" s="23"/>
      <c r="E22" s="71"/>
      <c r="F22" s="71"/>
      <c r="G22" s="71"/>
      <c r="H22" s="78"/>
      <c r="I22" s="81"/>
    </row>
    <row r="23" spans="1:9" x14ac:dyDescent="0.35">
      <c r="A23" s="1" t="s">
        <v>45</v>
      </c>
      <c r="B23" s="1" t="s">
        <v>16</v>
      </c>
      <c r="C23" s="89">
        <v>1200</v>
      </c>
      <c r="D23" s="23"/>
      <c r="E23" s="71">
        <v>1302.4100000000001</v>
      </c>
      <c r="F23" s="71"/>
      <c r="G23" s="71">
        <v>517.16999999999996</v>
      </c>
      <c r="H23" s="78"/>
      <c r="I23" s="82">
        <v>1009.77</v>
      </c>
    </row>
    <row r="24" spans="1:9" x14ac:dyDescent="0.35">
      <c r="B24" s="1" t="s">
        <v>17</v>
      </c>
      <c r="C24" s="89">
        <v>150</v>
      </c>
      <c r="D24" s="23"/>
      <c r="E24" s="71">
        <v>117.6</v>
      </c>
      <c r="F24" s="71">
        <v>125</v>
      </c>
      <c r="G24" s="71">
        <v>123.92</v>
      </c>
      <c r="H24" s="78"/>
      <c r="I24" s="82">
        <v>126.5</v>
      </c>
    </row>
    <row r="25" spans="1:9" x14ac:dyDescent="0.35">
      <c r="C25" s="89"/>
      <c r="D25" s="23"/>
      <c r="E25" s="71"/>
      <c r="F25" s="71"/>
      <c r="G25" s="71"/>
      <c r="H25" s="78"/>
      <c r="I25" s="81"/>
    </row>
    <row r="26" spans="1:9" x14ac:dyDescent="0.35">
      <c r="A26" s="1" t="s">
        <v>56</v>
      </c>
      <c r="B26" s="1" t="s">
        <v>30</v>
      </c>
      <c r="C26" s="89">
        <v>50</v>
      </c>
      <c r="D26" s="23"/>
      <c r="E26" s="71"/>
      <c r="F26" s="71"/>
      <c r="G26" s="71"/>
      <c r="H26" s="78"/>
      <c r="I26" s="81"/>
    </row>
    <row r="27" spans="1:9" x14ac:dyDescent="0.35">
      <c r="B27" s="1" t="s">
        <v>19</v>
      </c>
      <c r="C27" s="89">
        <v>0</v>
      </c>
      <c r="D27" s="23"/>
      <c r="E27" s="71">
        <v>0</v>
      </c>
      <c r="F27" s="71">
        <v>0</v>
      </c>
      <c r="G27" s="71">
        <v>0</v>
      </c>
      <c r="H27" s="78"/>
      <c r="I27" s="82">
        <v>0</v>
      </c>
    </row>
    <row r="28" spans="1:9" x14ac:dyDescent="0.35">
      <c r="B28" s="1" t="s">
        <v>20</v>
      </c>
      <c r="C28" s="89">
        <v>115</v>
      </c>
      <c r="D28" s="23"/>
      <c r="E28" s="71">
        <v>54</v>
      </c>
      <c r="F28" s="71">
        <v>54</v>
      </c>
      <c r="G28" s="71">
        <v>54</v>
      </c>
      <c r="H28" s="78"/>
      <c r="I28" s="82">
        <v>92</v>
      </c>
    </row>
    <row r="29" spans="1:9" x14ac:dyDescent="0.35">
      <c r="B29" s="1" t="s">
        <v>21</v>
      </c>
      <c r="C29" s="89">
        <v>50</v>
      </c>
      <c r="D29" s="23"/>
      <c r="E29" s="71">
        <v>0</v>
      </c>
      <c r="F29" s="71">
        <v>0</v>
      </c>
      <c r="G29" s="71">
        <v>29.4</v>
      </c>
      <c r="H29" s="78"/>
      <c r="I29" s="82">
        <v>21.64</v>
      </c>
    </row>
    <row r="30" spans="1:9" x14ac:dyDescent="0.35">
      <c r="B30" s="1" t="s">
        <v>22</v>
      </c>
      <c r="C30" s="89">
        <v>15</v>
      </c>
      <c r="D30" s="23"/>
      <c r="E30" s="71">
        <v>10</v>
      </c>
      <c r="F30" s="71">
        <v>10</v>
      </c>
      <c r="G30" s="71">
        <v>15</v>
      </c>
      <c r="H30" s="78"/>
      <c r="I30" s="82">
        <v>15</v>
      </c>
    </row>
    <row r="31" spans="1:9" x14ac:dyDescent="0.35">
      <c r="B31" s="1" t="s">
        <v>23</v>
      </c>
      <c r="C31" s="89">
        <v>40</v>
      </c>
      <c r="D31" s="23"/>
      <c r="E31" s="71">
        <v>40</v>
      </c>
      <c r="F31" s="71">
        <v>40</v>
      </c>
      <c r="G31" s="71">
        <v>40</v>
      </c>
      <c r="H31" s="78"/>
      <c r="I31" s="82">
        <v>40</v>
      </c>
    </row>
    <row r="32" spans="1:9" x14ac:dyDescent="0.35">
      <c r="C32" s="89"/>
      <c r="D32" s="23"/>
      <c r="E32" s="71"/>
      <c r="F32" s="71"/>
      <c r="G32" s="71"/>
      <c r="H32" s="78"/>
      <c r="I32" s="81"/>
    </row>
    <row r="33" spans="1:9" ht="17" x14ac:dyDescent="0.5">
      <c r="A33" s="3" t="s">
        <v>24</v>
      </c>
      <c r="C33" s="90">
        <f>SUM(C12:C32)</f>
        <v>17955</v>
      </c>
      <c r="D33" s="23"/>
      <c r="E33" s="72">
        <f>SUM(E12:E32)</f>
        <v>9105.33</v>
      </c>
      <c r="F33" s="72">
        <f>SUM(F12:F32)</f>
        <v>25610.32</v>
      </c>
      <c r="G33" s="72">
        <f>SUM(G12:G32)</f>
        <v>8015.91</v>
      </c>
      <c r="H33" s="72">
        <f>SUM(H12:H32)</f>
        <v>0</v>
      </c>
      <c r="I33" s="83">
        <f>SUM(I12:I32)</f>
        <v>11939.669999999998</v>
      </c>
    </row>
    <row r="34" spans="1:9" ht="17" x14ac:dyDescent="0.5">
      <c r="C34" s="91"/>
      <c r="D34" s="23"/>
      <c r="E34" s="72"/>
      <c r="F34" s="72"/>
      <c r="G34" s="72"/>
      <c r="H34" s="72"/>
      <c r="I34" s="83"/>
    </row>
    <row r="35" spans="1:9" x14ac:dyDescent="0.35">
      <c r="A35" s="1" t="s">
        <v>50</v>
      </c>
      <c r="C35" s="92">
        <f>+C5+C8-C33</f>
        <v>17415.07</v>
      </c>
      <c r="D35" s="63"/>
      <c r="E35" s="73">
        <f>+E5+E8-E33</f>
        <v>29680.61</v>
      </c>
      <c r="F35" s="73">
        <f>+F5+F8-F33</f>
        <v>16604.89</v>
      </c>
      <c r="G35" s="73">
        <f>+G5+G8-G33</f>
        <v>19525.98</v>
      </c>
      <c r="H35" s="73">
        <f>+H5+H8-H33</f>
        <v>19783.099999999999</v>
      </c>
      <c r="I35" s="73">
        <f>+I5+I8-I33</f>
        <v>23220.43</v>
      </c>
    </row>
    <row r="36" spans="1:9" x14ac:dyDescent="0.35">
      <c r="C36" s="5"/>
      <c r="D36" s="1"/>
      <c r="E36" s="5"/>
      <c r="F36" s="10"/>
      <c r="G36" s="10"/>
      <c r="I36" s="4"/>
    </row>
    <row r="37" spans="1:9" x14ac:dyDescent="0.35">
      <c r="A37" t="s">
        <v>25</v>
      </c>
      <c r="D37" s="1"/>
    </row>
    <row r="38" spans="1:9" x14ac:dyDescent="0.35">
      <c r="A38" t="s">
        <v>26</v>
      </c>
      <c r="D38" s="1"/>
    </row>
    <row r="39" spans="1:9" x14ac:dyDescent="0.35">
      <c r="A39" t="s">
        <v>27</v>
      </c>
      <c r="D39" s="1"/>
    </row>
    <row r="40" spans="1:9" x14ac:dyDescent="0.35">
      <c r="A40" s="11" t="s">
        <v>28</v>
      </c>
      <c r="D40" s="1"/>
    </row>
    <row r="41" spans="1:9" x14ac:dyDescent="0.35">
      <c r="D41" s="1"/>
    </row>
    <row r="42" spans="1:9" x14ac:dyDescent="0.35">
      <c r="D42" s="1"/>
    </row>
    <row r="43" spans="1:9" x14ac:dyDescent="0.35">
      <c r="D43" s="1"/>
    </row>
    <row r="44" spans="1:9" x14ac:dyDescent="0.35">
      <c r="D44" s="1"/>
    </row>
    <row r="45" spans="1:9" x14ac:dyDescent="0.35">
      <c r="D45" s="1"/>
    </row>
    <row r="46" spans="1:9" x14ac:dyDescent="0.35">
      <c r="D46" s="1"/>
    </row>
    <row r="47" spans="1:9" x14ac:dyDescent="0.35">
      <c r="D47" s="1"/>
    </row>
    <row r="48" spans="1:9" x14ac:dyDescent="0.35">
      <c r="D48" s="1"/>
    </row>
    <row r="49" spans="4:4" x14ac:dyDescent="0.35">
      <c r="D49" s="1"/>
    </row>
    <row r="50" spans="4:4" x14ac:dyDescent="0.35">
      <c r="D50" s="1"/>
    </row>
    <row r="51" spans="4:4" x14ac:dyDescent="0.35">
      <c r="D51" s="1"/>
    </row>
    <row r="52" spans="4:4" x14ac:dyDescent="0.35">
      <c r="D52" s="1"/>
    </row>
    <row r="53" spans="4:4" x14ac:dyDescent="0.35">
      <c r="D53" s="1"/>
    </row>
    <row r="54" spans="4:4" x14ac:dyDescent="0.35">
      <c r="D54" s="1"/>
    </row>
    <row r="55" spans="4:4" x14ac:dyDescent="0.35">
      <c r="D55" s="1"/>
    </row>
    <row r="56" spans="4:4" x14ac:dyDescent="0.35">
      <c r="D56" s="1"/>
    </row>
    <row r="57" spans="4:4" x14ac:dyDescent="0.35">
      <c r="D57" s="1"/>
    </row>
    <row r="58" spans="4:4" x14ac:dyDescent="0.35">
      <c r="D58" s="1"/>
    </row>
    <row r="59" spans="4:4" x14ac:dyDescent="0.35">
      <c r="D59" s="1"/>
    </row>
    <row r="60" spans="4:4" x14ac:dyDescent="0.35">
      <c r="D60" s="1"/>
    </row>
    <row r="61" spans="4:4" x14ac:dyDescent="0.35">
      <c r="D61" s="1"/>
    </row>
    <row r="62" spans="4:4" x14ac:dyDescent="0.35">
      <c r="D62" s="1"/>
    </row>
    <row r="63" spans="4:4" x14ac:dyDescent="0.35">
      <c r="D63" s="1"/>
    </row>
    <row r="64" spans="4:4" x14ac:dyDescent="0.35">
      <c r="D64" s="1"/>
    </row>
    <row r="65" spans="4:4" x14ac:dyDescent="0.35">
      <c r="D65" s="1"/>
    </row>
    <row r="66" spans="4:4" x14ac:dyDescent="0.35">
      <c r="D66" s="1"/>
    </row>
    <row r="67" spans="4:4" x14ac:dyDescent="0.35">
      <c r="D67" s="1"/>
    </row>
    <row r="68" spans="4:4" x14ac:dyDescent="0.35">
      <c r="D68" s="1"/>
    </row>
    <row r="69" spans="4:4" x14ac:dyDescent="0.35">
      <c r="D69" s="1"/>
    </row>
    <row r="70" spans="4:4" x14ac:dyDescent="0.35">
      <c r="D70" s="1"/>
    </row>
    <row r="71" spans="4:4" x14ac:dyDescent="0.35">
      <c r="D71" s="1"/>
    </row>
    <row r="72" spans="4:4" x14ac:dyDescent="0.35">
      <c r="D72" s="1"/>
    </row>
    <row r="73" spans="4:4" x14ac:dyDescent="0.35">
      <c r="D73" s="1"/>
    </row>
    <row r="74" spans="4:4" x14ac:dyDescent="0.35">
      <c r="D74" s="1"/>
    </row>
    <row r="75" spans="4:4" x14ac:dyDescent="0.35">
      <c r="D75" s="1"/>
    </row>
    <row r="76" spans="4:4" x14ac:dyDescent="0.35">
      <c r="D76" s="1"/>
    </row>
    <row r="77" spans="4:4" x14ac:dyDescent="0.35">
      <c r="D77" s="1"/>
    </row>
    <row r="78" spans="4:4" x14ac:dyDescent="0.35">
      <c r="D78" s="1"/>
    </row>
    <row r="79" spans="4:4" x14ac:dyDescent="0.35">
      <c r="D79" s="1"/>
    </row>
    <row r="80" spans="4:4" x14ac:dyDescent="0.35">
      <c r="D80" s="1"/>
    </row>
    <row r="81" spans="4:4" x14ac:dyDescent="0.35">
      <c r="D81" s="1"/>
    </row>
    <row r="82" spans="4:4" x14ac:dyDescent="0.35">
      <c r="D82" s="1"/>
    </row>
    <row r="83" spans="4:4" x14ac:dyDescent="0.35">
      <c r="D83" s="1"/>
    </row>
    <row r="84" spans="4:4" x14ac:dyDescent="0.35">
      <c r="D84" s="1"/>
    </row>
    <row r="85" spans="4:4" x14ac:dyDescent="0.35">
      <c r="D85" s="1"/>
    </row>
    <row r="86" spans="4:4" x14ac:dyDescent="0.35">
      <c r="D86" s="1"/>
    </row>
    <row r="87" spans="4:4" x14ac:dyDescent="0.35">
      <c r="D87" s="1"/>
    </row>
    <row r="88" spans="4:4" x14ac:dyDescent="0.35">
      <c r="D88" s="1"/>
    </row>
    <row r="89" spans="4:4" x14ac:dyDescent="0.35">
      <c r="D89" s="1"/>
    </row>
    <row r="90" spans="4:4" x14ac:dyDescent="0.35">
      <c r="D90" s="1"/>
    </row>
    <row r="91" spans="4:4" x14ac:dyDescent="0.35">
      <c r="D91" s="1"/>
    </row>
    <row r="92" spans="4:4" x14ac:dyDescent="0.35">
      <c r="D92" s="1"/>
    </row>
    <row r="93" spans="4:4" x14ac:dyDescent="0.35">
      <c r="D93" s="1"/>
    </row>
    <row r="94" spans="4:4" x14ac:dyDescent="0.35">
      <c r="D94" s="1"/>
    </row>
    <row r="95" spans="4:4" x14ac:dyDescent="0.35">
      <c r="D95" s="1"/>
    </row>
    <row r="96" spans="4:4" x14ac:dyDescent="0.35">
      <c r="D96" s="1"/>
    </row>
    <row r="97" spans="4:4" x14ac:dyDescent="0.35">
      <c r="D97" s="1"/>
    </row>
    <row r="98" spans="4:4" x14ac:dyDescent="0.35">
      <c r="D98" s="1"/>
    </row>
    <row r="99" spans="4:4" x14ac:dyDescent="0.35">
      <c r="D99" s="1"/>
    </row>
    <row r="100" spans="4:4" x14ac:dyDescent="0.35">
      <c r="D100" s="1"/>
    </row>
    <row r="101" spans="4:4" x14ac:dyDescent="0.35">
      <c r="D101" s="1"/>
    </row>
    <row r="102" spans="4:4" x14ac:dyDescent="0.35">
      <c r="D102" s="1"/>
    </row>
    <row r="103" spans="4:4" x14ac:dyDescent="0.35">
      <c r="D103" s="1"/>
    </row>
    <row r="104" spans="4:4" x14ac:dyDescent="0.35">
      <c r="D104" s="1"/>
    </row>
    <row r="105" spans="4:4" x14ac:dyDescent="0.35">
      <c r="D105" s="1"/>
    </row>
    <row r="106" spans="4:4" x14ac:dyDescent="0.35">
      <c r="D106" s="1"/>
    </row>
    <row r="107" spans="4:4" x14ac:dyDescent="0.35">
      <c r="D107" s="1"/>
    </row>
    <row r="108" spans="4:4" x14ac:dyDescent="0.35">
      <c r="D108" s="1"/>
    </row>
    <row r="109" spans="4:4" x14ac:dyDescent="0.35">
      <c r="D109" s="1"/>
    </row>
    <row r="110" spans="4:4" x14ac:dyDescent="0.35">
      <c r="D110" s="1"/>
    </row>
    <row r="111" spans="4:4" x14ac:dyDescent="0.35">
      <c r="D111" s="1"/>
    </row>
    <row r="112" spans="4:4" x14ac:dyDescent="0.35">
      <c r="D112" s="1"/>
    </row>
    <row r="113" spans="4:4" x14ac:dyDescent="0.35">
      <c r="D113" s="1"/>
    </row>
    <row r="114" spans="4:4" x14ac:dyDescent="0.35">
      <c r="D114" s="1"/>
    </row>
    <row r="115" spans="4:4" x14ac:dyDescent="0.35">
      <c r="D115" s="1"/>
    </row>
    <row r="116" spans="4:4" x14ac:dyDescent="0.35">
      <c r="D116" s="1"/>
    </row>
    <row r="117" spans="4:4" x14ac:dyDescent="0.35">
      <c r="D117" s="1"/>
    </row>
    <row r="118" spans="4:4" x14ac:dyDescent="0.35">
      <c r="D118" s="1"/>
    </row>
    <row r="119" spans="4:4" x14ac:dyDescent="0.35">
      <c r="D119" s="1"/>
    </row>
    <row r="120" spans="4:4" x14ac:dyDescent="0.35">
      <c r="D120" s="1"/>
    </row>
    <row r="121" spans="4:4" x14ac:dyDescent="0.35">
      <c r="D121" s="1"/>
    </row>
    <row r="122" spans="4:4" x14ac:dyDescent="0.35">
      <c r="D122" s="1"/>
    </row>
    <row r="123" spans="4:4" x14ac:dyDescent="0.35">
      <c r="D123" s="1"/>
    </row>
    <row r="124" spans="4:4" x14ac:dyDescent="0.35">
      <c r="D124" s="1"/>
    </row>
    <row r="125" spans="4:4" x14ac:dyDescent="0.35">
      <c r="D125" s="1"/>
    </row>
    <row r="126" spans="4:4" x14ac:dyDescent="0.35">
      <c r="D126" s="1"/>
    </row>
    <row r="127" spans="4:4" x14ac:dyDescent="0.35">
      <c r="D127" s="1"/>
    </row>
    <row r="128" spans="4:4" x14ac:dyDescent="0.35">
      <c r="D128" s="1"/>
    </row>
    <row r="129" spans="4:4" x14ac:dyDescent="0.35">
      <c r="D129" s="1"/>
    </row>
    <row r="130" spans="4:4" x14ac:dyDescent="0.35">
      <c r="D130" s="1"/>
    </row>
    <row r="131" spans="4:4" x14ac:dyDescent="0.35">
      <c r="D131" s="1"/>
    </row>
    <row r="132" spans="4:4" x14ac:dyDescent="0.35">
      <c r="D132" s="1"/>
    </row>
    <row r="133" spans="4:4" x14ac:dyDescent="0.35">
      <c r="D133" s="1"/>
    </row>
    <row r="134" spans="4:4" x14ac:dyDescent="0.35">
      <c r="D134" s="1"/>
    </row>
    <row r="135" spans="4:4" x14ac:dyDescent="0.35">
      <c r="D135" s="1"/>
    </row>
    <row r="136" spans="4:4" x14ac:dyDescent="0.35">
      <c r="D136" s="1"/>
    </row>
    <row r="137" spans="4:4" x14ac:dyDescent="0.35">
      <c r="D137" s="1"/>
    </row>
    <row r="138" spans="4:4" x14ac:dyDescent="0.35">
      <c r="D138" s="1"/>
    </row>
    <row r="139" spans="4:4" x14ac:dyDescent="0.35">
      <c r="D139" s="1"/>
    </row>
    <row r="140" spans="4:4" x14ac:dyDescent="0.35">
      <c r="D140" s="1"/>
    </row>
    <row r="141" spans="4:4" x14ac:dyDescent="0.35">
      <c r="D141" s="1"/>
    </row>
    <row r="142" spans="4:4" x14ac:dyDescent="0.35">
      <c r="D142" s="1"/>
    </row>
    <row r="143" spans="4:4" x14ac:dyDescent="0.35">
      <c r="D143" s="1"/>
    </row>
    <row r="144" spans="4:4" x14ac:dyDescent="0.35">
      <c r="D144" s="1"/>
    </row>
    <row r="145" spans="4:4" x14ac:dyDescent="0.35">
      <c r="D145" s="1"/>
    </row>
    <row r="146" spans="4:4" x14ac:dyDescent="0.35">
      <c r="D146" s="1"/>
    </row>
    <row r="147" spans="4:4" x14ac:dyDescent="0.35">
      <c r="D147" s="1"/>
    </row>
    <row r="148" spans="4:4" x14ac:dyDescent="0.35">
      <c r="D148" s="1"/>
    </row>
    <row r="149" spans="4:4" x14ac:dyDescent="0.35">
      <c r="D149" s="1"/>
    </row>
    <row r="150" spans="4:4" x14ac:dyDescent="0.35">
      <c r="D150" s="1"/>
    </row>
    <row r="151" spans="4:4" x14ac:dyDescent="0.35">
      <c r="D151" s="1"/>
    </row>
    <row r="152" spans="4:4" x14ac:dyDescent="0.35">
      <c r="D152" s="1"/>
    </row>
    <row r="153" spans="4:4" x14ac:dyDescent="0.35">
      <c r="D153" s="1"/>
    </row>
    <row r="154" spans="4:4" x14ac:dyDescent="0.35">
      <c r="D154" s="1"/>
    </row>
    <row r="155" spans="4:4" x14ac:dyDescent="0.35">
      <c r="D155" s="1"/>
    </row>
    <row r="156" spans="4:4" x14ac:dyDescent="0.35">
      <c r="D156" s="1"/>
    </row>
    <row r="157" spans="4:4" x14ac:dyDescent="0.35">
      <c r="D157" s="1"/>
    </row>
    <row r="158" spans="4:4" x14ac:dyDescent="0.35">
      <c r="D158" s="1"/>
    </row>
    <row r="159" spans="4:4" x14ac:dyDescent="0.35">
      <c r="D159" s="1"/>
    </row>
    <row r="160" spans="4:4" x14ac:dyDescent="0.35">
      <c r="D160" s="1"/>
    </row>
    <row r="161" spans="4:4" x14ac:dyDescent="0.35">
      <c r="D161" s="1"/>
    </row>
    <row r="162" spans="4:4" x14ac:dyDescent="0.35">
      <c r="D162" s="1"/>
    </row>
    <row r="163" spans="4:4" x14ac:dyDescent="0.35">
      <c r="D163" s="1"/>
    </row>
    <row r="164" spans="4:4" x14ac:dyDescent="0.35">
      <c r="D164" s="1"/>
    </row>
    <row r="165" spans="4:4" x14ac:dyDescent="0.35">
      <c r="D165" s="1"/>
    </row>
    <row r="166" spans="4:4" x14ac:dyDescent="0.35">
      <c r="D166" s="1"/>
    </row>
    <row r="167" spans="4:4" x14ac:dyDescent="0.35">
      <c r="D167" s="1"/>
    </row>
    <row r="168" spans="4:4" x14ac:dyDescent="0.35">
      <c r="D168" s="1"/>
    </row>
    <row r="169" spans="4:4" x14ac:dyDescent="0.35">
      <c r="D169" s="1"/>
    </row>
    <row r="170" spans="4:4" x14ac:dyDescent="0.35">
      <c r="D170" s="1"/>
    </row>
    <row r="171" spans="4:4" x14ac:dyDescent="0.35">
      <c r="D171" s="1"/>
    </row>
    <row r="172" spans="4:4" x14ac:dyDescent="0.35">
      <c r="D172" s="1"/>
    </row>
    <row r="173" spans="4:4" x14ac:dyDescent="0.35">
      <c r="D173" s="1"/>
    </row>
    <row r="174" spans="4:4" x14ac:dyDescent="0.35">
      <c r="D174" s="1"/>
    </row>
    <row r="175" spans="4:4" x14ac:dyDescent="0.35">
      <c r="D175" s="1"/>
    </row>
    <row r="176" spans="4:4" x14ac:dyDescent="0.35">
      <c r="D176" s="1"/>
    </row>
    <row r="177" spans="4:4" x14ac:dyDescent="0.35">
      <c r="D177" s="1"/>
    </row>
    <row r="178" spans="4:4" x14ac:dyDescent="0.35">
      <c r="D178" s="1"/>
    </row>
    <row r="179" spans="4:4" x14ac:dyDescent="0.35">
      <c r="D179" s="1"/>
    </row>
    <row r="180" spans="4:4" x14ac:dyDescent="0.35">
      <c r="D180" s="1"/>
    </row>
    <row r="181" spans="4:4" x14ac:dyDescent="0.35">
      <c r="D181" s="1"/>
    </row>
    <row r="182" spans="4:4" x14ac:dyDescent="0.35">
      <c r="D182" s="1"/>
    </row>
    <row r="183" spans="4:4" x14ac:dyDescent="0.35">
      <c r="D183" s="1"/>
    </row>
    <row r="184" spans="4:4" x14ac:dyDescent="0.35">
      <c r="D184" s="1"/>
    </row>
    <row r="185" spans="4:4" x14ac:dyDescent="0.35">
      <c r="D185" s="1"/>
    </row>
    <row r="186" spans="4:4" x14ac:dyDescent="0.35">
      <c r="D186" s="1"/>
    </row>
    <row r="187" spans="4:4" x14ac:dyDescent="0.35">
      <c r="D187" s="1"/>
    </row>
    <row r="188" spans="4:4" x14ac:dyDescent="0.35">
      <c r="D188" s="1"/>
    </row>
    <row r="189" spans="4:4" x14ac:dyDescent="0.35">
      <c r="D189" s="1"/>
    </row>
    <row r="190" spans="4:4" x14ac:dyDescent="0.35">
      <c r="D190" s="1"/>
    </row>
    <row r="191" spans="4:4" x14ac:dyDescent="0.35">
      <c r="D191" s="1"/>
    </row>
    <row r="192" spans="4:4" x14ac:dyDescent="0.35">
      <c r="D192" s="1"/>
    </row>
    <row r="193" spans="4:4" x14ac:dyDescent="0.35">
      <c r="D193" s="1"/>
    </row>
    <row r="194" spans="4:4" x14ac:dyDescent="0.35">
      <c r="D194" s="1"/>
    </row>
    <row r="195" spans="4:4" x14ac:dyDescent="0.35">
      <c r="D195" s="1"/>
    </row>
    <row r="196" spans="4:4" x14ac:dyDescent="0.35">
      <c r="D196" s="1"/>
    </row>
    <row r="197" spans="4:4" x14ac:dyDescent="0.35">
      <c r="D197" s="1"/>
    </row>
    <row r="198" spans="4:4" x14ac:dyDescent="0.35">
      <c r="D198" s="1"/>
    </row>
    <row r="199" spans="4:4" x14ac:dyDescent="0.35">
      <c r="D199" s="1"/>
    </row>
    <row r="200" spans="4:4" x14ac:dyDescent="0.35">
      <c r="D200" s="1"/>
    </row>
    <row r="201" spans="4:4" x14ac:dyDescent="0.35">
      <c r="D201" s="1"/>
    </row>
    <row r="202" spans="4:4" x14ac:dyDescent="0.35">
      <c r="D202" s="1"/>
    </row>
    <row r="203" spans="4:4" x14ac:dyDescent="0.35">
      <c r="D203" s="1"/>
    </row>
    <row r="204" spans="4:4" x14ac:dyDescent="0.35">
      <c r="D204" s="1"/>
    </row>
    <row r="205" spans="4:4" x14ac:dyDescent="0.35">
      <c r="D205" s="1"/>
    </row>
    <row r="206" spans="4:4" x14ac:dyDescent="0.35">
      <c r="D206" s="1"/>
    </row>
    <row r="207" spans="4:4" x14ac:dyDescent="0.35">
      <c r="D207" s="1"/>
    </row>
    <row r="208" spans="4:4" x14ac:dyDescent="0.35">
      <c r="D208" s="1"/>
    </row>
    <row r="209" spans="4:4" x14ac:dyDescent="0.35">
      <c r="D209" s="1"/>
    </row>
    <row r="210" spans="4:4" x14ac:dyDescent="0.35">
      <c r="D210" s="1"/>
    </row>
    <row r="211" spans="4:4" x14ac:dyDescent="0.35">
      <c r="D211" s="1"/>
    </row>
    <row r="212" spans="4:4" x14ac:dyDescent="0.35">
      <c r="D212" s="1"/>
    </row>
    <row r="213" spans="4:4" x14ac:dyDescent="0.35">
      <c r="D213" s="1"/>
    </row>
    <row r="214" spans="4:4" x14ac:dyDescent="0.35">
      <c r="D214" s="1"/>
    </row>
    <row r="215" spans="4:4" x14ac:dyDescent="0.35">
      <c r="D215" s="1"/>
    </row>
    <row r="216" spans="4:4" x14ac:dyDescent="0.35">
      <c r="D216" s="1"/>
    </row>
    <row r="217" spans="4:4" x14ac:dyDescent="0.35">
      <c r="D217" s="1"/>
    </row>
  </sheetData>
  <mergeCells count="1">
    <mergeCell ref="E1:I1"/>
  </mergeCells>
  <pageMargins left="0.2" right="0.2" top="0.25" bottom="0.25" header="0.05" footer="0.05"/>
  <pageSetup paperSize="5" orientation="landscape" r:id="rId1"/>
  <headerFooter>
    <oddHeader>&amp;CParadise Lake HOA
2018 Budget&amp;RNovember 2018</oddHeader>
  </headerFooter>
  <legacy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theme="2" tint="-0.499984740745262"/>
  </sheetPr>
  <dimension ref="A1:AA41"/>
  <sheetViews>
    <sheetView workbookViewId="0">
      <selection activeCell="G33" sqref="G33"/>
    </sheetView>
  </sheetViews>
  <sheetFormatPr defaultColWidth="8.6328125" defaultRowHeight="15.5" x14ac:dyDescent="0.35"/>
  <cols>
    <col min="1" max="1" width="16.90625" style="1" customWidth="1"/>
    <col min="2" max="2" width="23.54296875" style="1" bestFit="1" customWidth="1"/>
    <col min="3" max="4" width="3.54296875" style="1" customWidth="1"/>
    <col min="5" max="5" width="17.90625" style="2" customWidth="1"/>
    <col min="6" max="6" width="3.54296875" style="7" customWidth="1"/>
    <col min="7" max="7" width="10.6328125" style="9" customWidth="1"/>
    <col min="8" max="8" width="1.6328125" style="1" customWidth="1"/>
    <col min="9" max="9" width="10.6328125" style="9" customWidth="1"/>
    <col min="10" max="10" width="1.6328125" style="1" customWidth="1"/>
    <col min="11" max="11" width="10.6328125" style="9" customWidth="1"/>
    <col min="12" max="12" width="1.6328125" style="1" customWidth="1"/>
    <col min="13" max="13" width="10.6328125" style="1" customWidth="1"/>
    <col min="14" max="14" width="1.6328125" style="1" customWidth="1"/>
    <col min="15" max="15" width="10.6328125" style="1" customWidth="1"/>
    <col min="16" max="16" width="1.6328125" style="1" customWidth="1"/>
    <col min="17" max="17" width="10.6328125" style="1" customWidth="1"/>
    <col min="18" max="18" width="1.6328125" style="1" customWidth="1"/>
    <col min="19" max="19" width="10.6328125" style="1" customWidth="1"/>
    <col min="20" max="20" width="1.6328125" style="1" customWidth="1"/>
    <col min="21" max="21" width="10.6328125" style="1" customWidth="1"/>
    <col min="22" max="22" width="1.6328125" style="1" customWidth="1"/>
    <col min="23" max="23" width="10.6328125" style="1" customWidth="1"/>
    <col min="24" max="24" width="1.6328125" style="1" customWidth="1"/>
    <col min="25" max="16384" width="8.6328125" style="1"/>
  </cols>
  <sheetData>
    <row r="1" spans="1:27" x14ac:dyDescent="0.35">
      <c r="E1" s="12" t="s">
        <v>0</v>
      </c>
      <c r="G1" s="16" t="s">
        <v>31</v>
      </c>
      <c r="H1" s="3"/>
      <c r="I1" s="17" t="s">
        <v>32</v>
      </c>
      <c r="J1" s="3"/>
      <c r="K1" s="17" t="s">
        <v>33</v>
      </c>
      <c r="M1" s="15" t="s">
        <v>34</v>
      </c>
      <c r="O1" s="15" t="s">
        <v>35</v>
      </c>
      <c r="Q1" s="15" t="s">
        <v>36</v>
      </c>
      <c r="S1" s="15" t="s">
        <v>37</v>
      </c>
      <c r="U1" s="15" t="s">
        <v>38</v>
      </c>
      <c r="W1" s="15" t="s">
        <v>39</v>
      </c>
      <c r="Y1" s="15" t="s">
        <v>40</v>
      </c>
    </row>
    <row r="2" spans="1:27" x14ac:dyDescent="0.35">
      <c r="E2" s="13"/>
    </row>
    <row r="3" spans="1:27" x14ac:dyDescent="0.35">
      <c r="A3" s="3" t="s">
        <v>1</v>
      </c>
      <c r="B3" s="6"/>
      <c r="C3" s="6"/>
      <c r="D3" s="6"/>
      <c r="E3" s="13">
        <v>23370.07</v>
      </c>
      <c r="F3" s="8"/>
      <c r="G3" s="18">
        <v>1125</v>
      </c>
      <c r="H3" s="19"/>
      <c r="I3" s="18"/>
      <c r="J3" s="19"/>
      <c r="K3" s="18">
        <v>8625</v>
      </c>
      <c r="L3" s="19"/>
      <c r="M3" s="18">
        <v>3375</v>
      </c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</row>
    <row r="4" spans="1:27" x14ac:dyDescent="0.35">
      <c r="A4" s="3" t="s">
        <v>2</v>
      </c>
      <c r="E4" s="13">
        <v>12000</v>
      </c>
      <c r="G4" s="18"/>
      <c r="H4" s="19"/>
      <c r="I4" s="18"/>
      <c r="J4" s="19"/>
      <c r="K4" s="18">
        <v>625.37</v>
      </c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</row>
    <row r="5" spans="1:27" x14ac:dyDescent="0.35">
      <c r="E5" s="13"/>
      <c r="G5" s="18"/>
      <c r="H5" s="19"/>
      <c r="I5" s="18"/>
      <c r="J5" s="19"/>
      <c r="K5" s="18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</row>
    <row r="6" spans="1:27" x14ac:dyDescent="0.35">
      <c r="A6" s="3" t="s">
        <v>3</v>
      </c>
      <c r="E6" s="13"/>
      <c r="G6" s="18"/>
      <c r="H6" s="19"/>
      <c r="I6" s="18"/>
      <c r="J6" s="19"/>
      <c r="K6" s="18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</row>
    <row r="7" spans="1:27" x14ac:dyDescent="0.35">
      <c r="E7" s="13"/>
      <c r="G7" s="18"/>
      <c r="H7" s="19"/>
      <c r="I7" s="18"/>
      <c r="J7" s="19"/>
      <c r="K7" s="18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</row>
    <row r="8" spans="1:27" x14ac:dyDescent="0.35">
      <c r="A8" s="1" t="s">
        <v>4</v>
      </c>
      <c r="B8" s="1" t="s">
        <v>5</v>
      </c>
      <c r="E8" s="13">
        <v>780</v>
      </c>
      <c r="G8" s="18">
        <v>-58.5</v>
      </c>
      <c r="H8" s="18"/>
      <c r="I8" s="18">
        <v>-58.5</v>
      </c>
      <c r="J8" s="18"/>
      <c r="K8" s="18">
        <v>-58.5</v>
      </c>
      <c r="L8" s="18"/>
      <c r="M8" s="18">
        <v>-58.5</v>
      </c>
      <c r="N8" s="18"/>
      <c r="O8" s="18">
        <v>-58.5</v>
      </c>
      <c r="P8" s="18"/>
      <c r="Q8" s="18">
        <v>-58.5</v>
      </c>
      <c r="R8" s="18"/>
      <c r="S8" s="18">
        <v>-58.5</v>
      </c>
      <c r="T8" s="18"/>
      <c r="U8" s="18">
        <v>-58.5</v>
      </c>
      <c r="V8" s="18"/>
      <c r="W8" s="18"/>
      <c r="X8" s="18"/>
      <c r="Y8" s="18"/>
      <c r="Z8" s="18"/>
      <c r="AA8" s="2"/>
    </row>
    <row r="9" spans="1:27" x14ac:dyDescent="0.35">
      <c r="A9" s="1" t="s">
        <v>6</v>
      </c>
      <c r="E9" s="13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2"/>
    </row>
    <row r="10" spans="1:27" x14ac:dyDescent="0.35">
      <c r="B10" s="1" t="s">
        <v>7</v>
      </c>
      <c r="E10" s="13">
        <v>10200</v>
      </c>
      <c r="G10" s="18">
        <v>-1615.5</v>
      </c>
      <c r="H10" s="18"/>
      <c r="I10" s="18"/>
      <c r="J10" s="18"/>
      <c r="K10" s="18">
        <v>-625.37</v>
      </c>
      <c r="L10" s="18"/>
      <c r="M10" s="18"/>
      <c r="N10" s="18"/>
      <c r="O10" s="18"/>
      <c r="P10" s="18"/>
      <c r="Q10" s="18">
        <v>-2826.75</v>
      </c>
      <c r="R10" s="18"/>
      <c r="S10" s="18"/>
      <c r="T10" s="18"/>
      <c r="U10" s="18"/>
      <c r="V10" s="18"/>
      <c r="W10" s="18"/>
      <c r="X10" s="18"/>
      <c r="Y10" s="18"/>
      <c r="Z10" s="18"/>
      <c r="AA10" s="2"/>
    </row>
    <row r="11" spans="1:27" x14ac:dyDescent="0.35">
      <c r="B11" s="1" t="s">
        <v>29</v>
      </c>
      <c r="E11" s="13">
        <v>3000</v>
      </c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2"/>
    </row>
    <row r="12" spans="1:27" x14ac:dyDescent="0.35">
      <c r="B12" s="1" t="s">
        <v>8</v>
      </c>
      <c r="E12" s="13">
        <v>1250</v>
      </c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2"/>
    </row>
    <row r="13" spans="1:27" x14ac:dyDescent="0.35">
      <c r="B13" s="1" t="s">
        <v>9</v>
      </c>
      <c r="E13" s="13">
        <v>1000</v>
      </c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2"/>
    </row>
    <row r="14" spans="1:27" x14ac:dyDescent="0.35">
      <c r="B14" s="1" t="s">
        <v>10</v>
      </c>
      <c r="E14" s="13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2"/>
    </row>
    <row r="15" spans="1:27" x14ac:dyDescent="0.35">
      <c r="E15" s="13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2"/>
    </row>
    <row r="16" spans="1:27" x14ac:dyDescent="0.35">
      <c r="A16" s="1" t="s">
        <v>11</v>
      </c>
      <c r="B16" s="1" t="s">
        <v>12</v>
      </c>
      <c r="E16" s="13">
        <v>65</v>
      </c>
      <c r="G16" s="18">
        <v>-4</v>
      </c>
      <c r="H16" s="18"/>
      <c r="I16" s="18">
        <v>-4</v>
      </c>
      <c r="J16" s="18"/>
      <c r="K16" s="18">
        <v>-4</v>
      </c>
      <c r="L16" s="18"/>
      <c r="M16" s="20">
        <v>-4</v>
      </c>
      <c r="N16" s="18"/>
      <c r="O16" s="18">
        <v>-4</v>
      </c>
      <c r="P16" s="18"/>
      <c r="Q16" s="18">
        <v>-4</v>
      </c>
      <c r="R16" s="18"/>
      <c r="S16" s="18">
        <v>-4</v>
      </c>
      <c r="T16" s="18"/>
      <c r="U16" s="18">
        <v>-4</v>
      </c>
      <c r="V16" s="18"/>
      <c r="W16" s="18">
        <v>-4</v>
      </c>
      <c r="X16" s="18"/>
      <c r="Y16" s="18"/>
      <c r="Z16" s="18"/>
      <c r="AA16" s="2"/>
    </row>
    <row r="17" spans="1:27" x14ac:dyDescent="0.35">
      <c r="B17" s="1" t="s">
        <v>13</v>
      </c>
      <c r="E17" s="13">
        <v>40</v>
      </c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2"/>
    </row>
    <row r="18" spans="1:27" x14ac:dyDescent="0.35">
      <c r="A18" s="1" t="s">
        <v>15</v>
      </c>
      <c r="E18" s="13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2"/>
    </row>
    <row r="19" spans="1:27" x14ac:dyDescent="0.35">
      <c r="B19" s="1" t="s">
        <v>16</v>
      </c>
      <c r="E19" s="13">
        <v>1200</v>
      </c>
      <c r="G19" s="18"/>
      <c r="H19" s="18"/>
      <c r="I19" s="18"/>
      <c r="J19" s="18"/>
      <c r="K19" s="18">
        <v>-45.5</v>
      </c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>
        <v>-203</v>
      </c>
      <c r="X19" s="18"/>
      <c r="Y19" s="18"/>
      <c r="Z19" s="18"/>
      <c r="AA19" s="2"/>
    </row>
    <row r="20" spans="1:27" x14ac:dyDescent="0.35">
      <c r="B20" s="1" t="s">
        <v>17</v>
      </c>
      <c r="E20" s="13">
        <v>150</v>
      </c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2"/>
    </row>
    <row r="21" spans="1:27" x14ac:dyDescent="0.35">
      <c r="E21" s="13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2"/>
    </row>
    <row r="22" spans="1:27" x14ac:dyDescent="0.35">
      <c r="A22" s="1" t="s">
        <v>18</v>
      </c>
      <c r="E22" s="13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2"/>
    </row>
    <row r="23" spans="1:27" x14ac:dyDescent="0.35">
      <c r="B23" s="1" t="s">
        <v>30</v>
      </c>
      <c r="E23" s="13">
        <v>50</v>
      </c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2"/>
    </row>
    <row r="24" spans="1:27" x14ac:dyDescent="0.35">
      <c r="B24" s="1" t="s">
        <v>19</v>
      </c>
      <c r="E24" s="13">
        <v>0</v>
      </c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2"/>
    </row>
    <row r="25" spans="1:27" x14ac:dyDescent="0.35">
      <c r="B25" s="1" t="s">
        <v>20</v>
      </c>
      <c r="E25" s="13">
        <v>115</v>
      </c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2"/>
    </row>
    <row r="26" spans="1:27" x14ac:dyDescent="0.35">
      <c r="B26" s="1" t="s">
        <v>21</v>
      </c>
      <c r="E26" s="13">
        <v>50</v>
      </c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2"/>
    </row>
    <row r="27" spans="1:27" x14ac:dyDescent="0.35">
      <c r="B27" s="1" t="s">
        <v>22</v>
      </c>
      <c r="E27" s="13">
        <v>15</v>
      </c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2"/>
    </row>
    <row r="28" spans="1:27" x14ac:dyDescent="0.35">
      <c r="B28" s="1" t="s">
        <v>23</v>
      </c>
      <c r="E28" s="13">
        <v>40</v>
      </c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2"/>
    </row>
    <row r="29" spans="1:27" x14ac:dyDescent="0.35">
      <c r="E29" s="13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2"/>
    </row>
    <row r="30" spans="1:27" x14ac:dyDescent="0.35">
      <c r="A30" s="1" t="s">
        <v>24</v>
      </c>
      <c r="E30" s="14">
        <f>SUM(E8:E29)</f>
        <v>17955</v>
      </c>
      <c r="F30" s="22"/>
      <c r="G30" s="21">
        <f>SUM(E3,G3,G8,G10,G16)</f>
        <v>22817.07</v>
      </c>
      <c r="H30" s="21"/>
      <c r="I30" s="21">
        <f>SUM(G30,I8,I16)</f>
        <v>22754.57</v>
      </c>
      <c r="J30" s="21"/>
      <c r="K30" s="21">
        <f>SUM(I30,K3:K29)</f>
        <v>31271.57</v>
      </c>
      <c r="L30" s="21"/>
      <c r="M30" s="21">
        <f>SUM(K30,M16,M8,M3)</f>
        <v>34584.07</v>
      </c>
      <c r="N30" s="21"/>
      <c r="O30" s="21">
        <f>SUM(M30,O16,O8)</f>
        <v>34521.57</v>
      </c>
      <c r="P30" s="21"/>
      <c r="Q30" s="21">
        <f>SUM(O30,Q16,Q10,Q8)</f>
        <v>31632.32</v>
      </c>
      <c r="R30" s="21"/>
      <c r="S30" s="21">
        <f>SUM(Q30,S16,S8)</f>
        <v>31569.82</v>
      </c>
      <c r="T30" s="21"/>
      <c r="U30" s="21">
        <f>SUM(S30,U16,U8)</f>
        <v>31507.32</v>
      </c>
      <c r="V30" s="21"/>
      <c r="W30" s="21">
        <f>SUM(U30,W16,W8,W19)</f>
        <v>31300.32</v>
      </c>
      <c r="X30" s="2"/>
      <c r="Y30" s="2"/>
      <c r="Z30" s="2"/>
      <c r="AA30" s="2"/>
    </row>
    <row r="31" spans="1:27" x14ac:dyDescent="0.35">
      <c r="E31" s="5"/>
      <c r="G31" s="10"/>
      <c r="I31" s="10"/>
      <c r="K31" s="10"/>
    </row>
    <row r="33" spans="1:1" x14ac:dyDescent="0.35">
      <c r="A33" t="s">
        <v>25</v>
      </c>
    </row>
    <row r="34" spans="1:1" x14ac:dyDescent="0.35">
      <c r="A34" t="s">
        <v>26</v>
      </c>
    </row>
    <row r="35" spans="1:1" x14ac:dyDescent="0.35">
      <c r="A35" t="s">
        <v>27</v>
      </c>
    </row>
    <row r="36" spans="1:1" x14ac:dyDescent="0.35">
      <c r="A36" s="11" t="s">
        <v>28</v>
      </c>
    </row>
    <row r="39" spans="1:1" x14ac:dyDescent="0.35">
      <c r="A39" s="1" t="s">
        <v>41</v>
      </c>
    </row>
    <row r="40" spans="1:1" x14ac:dyDescent="0.35">
      <c r="A40" s="1" t="s">
        <v>42</v>
      </c>
    </row>
    <row r="41" spans="1:1" x14ac:dyDescent="0.35">
      <c r="A41" s="1" t="s">
        <v>43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8459F8-6350-428E-B897-09593FB7E33E}">
  <sheetPr>
    <tabColor rgb="FF7030A0"/>
    <pageSetUpPr fitToPage="1"/>
  </sheetPr>
  <dimension ref="A1:U218"/>
  <sheetViews>
    <sheetView showGridLines="0" topLeftCell="C52" zoomScale="80" zoomScaleNormal="80" workbookViewId="0">
      <selection activeCell="W81" sqref="W81"/>
    </sheetView>
  </sheetViews>
  <sheetFormatPr defaultColWidth="8.6328125" defaultRowHeight="15.5" x14ac:dyDescent="0.35"/>
  <cols>
    <col min="1" max="1" width="13.6328125" style="1" customWidth="1"/>
    <col min="2" max="2" width="44" style="1" customWidth="1"/>
    <col min="3" max="3" width="12.6328125" style="1" customWidth="1"/>
    <col min="4" max="4" width="2.6328125" style="1" customWidth="1"/>
    <col min="5" max="5" width="12.6328125" style="2" customWidth="1"/>
    <col min="6" max="6" width="12.6328125" style="1" customWidth="1"/>
    <col min="7" max="7" width="2.6328125" style="1" customWidth="1"/>
    <col min="8" max="8" width="13.6328125" style="1" customWidth="1"/>
    <col min="9" max="9" width="2.453125" style="1" customWidth="1"/>
    <col min="10" max="10" width="13.90625" style="1" customWidth="1"/>
    <col min="11" max="11" width="10.1796875" style="1" customWidth="1"/>
    <col min="12" max="12" width="13.54296875" style="1" customWidth="1"/>
    <col min="13" max="15" width="14.6328125" style="1" customWidth="1"/>
    <col min="16" max="16" width="15.6328125" style="1" customWidth="1"/>
    <col min="17" max="20" width="12.6328125" style="1" customWidth="1"/>
    <col min="21" max="21" width="11.54296875" style="1" customWidth="1"/>
    <col min="22" max="16384" width="8.6328125" style="1"/>
  </cols>
  <sheetData>
    <row r="1" spans="1:17" ht="51" customHeight="1" x14ac:dyDescent="0.45">
      <c r="A1" s="110" t="s">
        <v>177</v>
      </c>
      <c r="C1" s="256">
        <v>2018</v>
      </c>
      <c r="D1" s="257"/>
      <c r="E1" s="493">
        <v>2019</v>
      </c>
      <c r="F1" s="494"/>
      <c r="G1" s="258"/>
      <c r="H1" s="393">
        <v>2020</v>
      </c>
      <c r="I1" s="394"/>
      <c r="J1" s="395" t="s">
        <v>317</v>
      </c>
      <c r="K1" s="394"/>
      <c r="L1" s="396">
        <v>2020</v>
      </c>
      <c r="N1" s="409" t="s">
        <v>375</v>
      </c>
      <c r="O1" s="409"/>
      <c r="P1" s="409" t="s">
        <v>384</v>
      </c>
      <c r="Q1" s="454" t="s">
        <v>410</v>
      </c>
    </row>
    <row r="2" spans="1:17" ht="16.5" customHeight="1" x14ac:dyDescent="0.35">
      <c r="C2" s="248" t="s">
        <v>61</v>
      </c>
      <c r="D2" s="212"/>
      <c r="E2" s="222" t="s">
        <v>62</v>
      </c>
      <c r="F2" s="223" t="s">
        <v>61</v>
      </c>
      <c r="H2" s="392" t="s">
        <v>62</v>
      </c>
      <c r="J2" s="392" t="s">
        <v>62</v>
      </c>
      <c r="L2" s="397" t="s">
        <v>61</v>
      </c>
      <c r="N2" s="405"/>
      <c r="O2" s="405"/>
      <c r="P2" s="405"/>
      <c r="Q2" s="405"/>
    </row>
    <row r="3" spans="1:17" hidden="1" x14ac:dyDescent="0.35">
      <c r="A3" s="1" t="s">
        <v>57</v>
      </c>
      <c r="C3" s="249" t="e">
        <f>+#REF!</f>
        <v>#REF!</v>
      </c>
      <c r="D3" s="213"/>
      <c r="E3" s="224">
        <f>+C29</f>
        <v>23374.07</v>
      </c>
      <c r="F3" s="225">
        <f>+C29</f>
        <v>23374.07</v>
      </c>
      <c r="H3" s="242"/>
      <c r="J3" s="242"/>
      <c r="L3" s="398"/>
      <c r="N3" s="405"/>
      <c r="O3" s="405"/>
      <c r="P3" s="405"/>
      <c r="Q3" s="405"/>
    </row>
    <row r="4" spans="1:17" hidden="1" x14ac:dyDescent="0.35">
      <c r="A4" s="1" t="s">
        <v>58</v>
      </c>
      <c r="C4" s="250" t="e">
        <f>+C5-C3</f>
        <v>#REF!</v>
      </c>
      <c r="D4" s="214"/>
      <c r="E4" s="226">
        <f>+E5-E3</f>
        <v>-4</v>
      </c>
      <c r="F4" s="227">
        <f>+F5-F3</f>
        <v>0</v>
      </c>
      <c r="H4" s="243"/>
      <c r="J4" s="243"/>
      <c r="L4" s="398"/>
      <c r="N4" s="405"/>
      <c r="O4" s="405"/>
      <c r="P4" s="405"/>
      <c r="Q4" s="405"/>
    </row>
    <row r="5" spans="1:17" x14ac:dyDescent="0.35">
      <c r="A5" s="37" t="s">
        <v>1</v>
      </c>
      <c r="B5" s="38"/>
      <c r="C5" s="251">
        <f>+'2018 Ck Reg'!M2</f>
        <v>23160.1</v>
      </c>
      <c r="D5" s="215"/>
      <c r="E5" s="228">
        <v>23370.07</v>
      </c>
      <c r="F5" s="229">
        <f>+'2019 ByMo'!D2</f>
        <v>23374.07</v>
      </c>
      <c r="H5" s="315">
        <f>+F29</f>
        <v>17009.909999999996</v>
      </c>
      <c r="J5" s="315">
        <v>17422.96</v>
      </c>
      <c r="L5" s="399">
        <f>+'2020 ByMo'!D2</f>
        <v>17009.909999999996</v>
      </c>
      <c r="N5" s="406">
        <f>+L29</f>
        <v>17748.039999999997</v>
      </c>
      <c r="O5" s="406"/>
      <c r="P5" s="406">
        <f>+L29</f>
        <v>17748.039999999997</v>
      </c>
      <c r="Q5" s="32">
        <f>+P29</f>
        <v>22706.149999999998</v>
      </c>
    </row>
    <row r="6" spans="1:17" ht="6.9" customHeight="1" x14ac:dyDescent="0.35">
      <c r="A6" s="37"/>
      <c r="B6" s="38"/>
      <c r="C6" s="252"/>
      <c r="D6" s="216"/>
      <c r="E6" s="228"/>
      <c r="F6" s="225"/>
      <c r="H6" s="44"/>
      <c r="J6" s="44"/>
      <c r="L6" s="400"/>
      <c r="N6" s="405"/>
      <c r="O6" s="405"/>
      <c r="P6" s="405"/>
      <c r="Q6" s="405"/>
    </row>
    <row r="7" spans="1:17" x14ac:dyDescent="0.35">
      <c r="A7" s="24" t="s">
        <v>44</v>
      </c>
      <c r="B7" s="211" t="s">
        <v>178</v>
      </c>
      <c r="C7" s="39">
        <v>375</v>
      </c>
      <c r="D7" s="217"/>
      <c r="E7" s="230">
        <v>375</v>
      </c>
      <c r="F7" s="231">
        <v>375</v>
      </c>
      <c r="G7" s="42"/>
      <c r="H7" s="44">
        <f>+'2020 ByMo'!B5</f>
        <v>430</v>
      </c>
      <c r="J7" s="44">
        <v>430</v>
      </c>
      <c r="L7" s="401">
        <f>+'2020 ByMo'!B5</f>
        <v>430</v>
      </c>
      <c r="N7" s="34">
        <f>+'2021 ByMo'!B5</f>
        <v>430</v>
      </c>
      <c r="O7" s="34"/>
      <c r="P7" s="34">
        <f>+'2021 ByMo'!B5</f>
        <v>430</v>
      </c>
      <c r="Q7" s="32">
        <f>+'2022 ByMo'!B5</f>
        <v>430</v>
      </c>
    </row>
    <row r="8" spans="1:17" x14ac:dyDescent="0.35">
      <c r="A8" s="1" t="s">
        <v>201</v>
      </c>
      <c r="C8" s="33">
        <f>+'2018 Ck Reg'!D56</f>
        <v>10500</v>
      </c>
      <c r="D8" s="309"/>
      <c r="E8" s="235">
        <v>12000</v>
      </c>
      <c r="F8" s="234">
        <f>+'2019 ByMo'!D5</f>
        <v>13125</v>
      </c>
      <c r="G8" s="261"/>
      <c r="H8" s="245">
        <f>+'2020 ByMo'!C5</f>
        <v>13760</v>
      </c>
      <c r="J8" s="245">
        <v>13760</v>
      </c>
      <c r="L8" s="402">
        <f>+'2020 ByMo'!D5</f>
        <v>13760</v>
      </c>
      <c r="N8" s="33">
        <f>+'2021 ByMo'!C5</f>
        <v>13760</v>
      </c>
      <c r="O8" s="33"/>
      <c r="P8" s="33">
        <f>+'2021 ByMo'!D5</f>
        <v>13760</v>
      </c>
      <c r="Q8" s="32">
        <f>+'2022 ByMo'!D6</f>
        <v>13760</v>
      </c>
    </row>
    <row r="9" spans="1:17" ht="18.5" hidden="1" x14ac:dyDescent="0.65">
      <c r="A9" s="1" t="s">
        <v>73</v>
      </c>
      <c r="C9" s="253">
        <v>0</v>
      </c>
      <c r="D9" s="64"/>
      <c r="E9" s="233">
        <v>0</v>
      </c>
      <c r="F9" s="234">
        <v>0</v>
      </c>
      <c r="H9" s="244">
        <v>0</v>
      </c>
      <c r="J9" s="244">
        <v>0</v>
      </c>
      <c r="L9" s="400"/>
      <c r="N9" s="32"/>
      <c r="O9" s="32"/>
      <c r="P9" s="32"/>
      <c r="Q9" s="405"/>
    </row>
    <row r="10" spans="1:17" x14ac:dyDescent="0.35">
      <c r="A10" s="94" t="s">
        <v>49</v>
      </c>
      <c r="C10" s="54">
        <f>+C8+C9</f>
        <v>10500</v>
      </c>
      <c r="D10" s="218"/>
      <c r="E10" s="232">
        <f>+E8+E9</f>
        <v>12000</v>
      </c>
      <c r="F10" s="221">
        <f>+F8+F9</f>
        <v>13125</v>
      </c>
      <c r="H10" s="43">
        <f>+H8+H9</f>
        <v>13760</v>
      </c>
      <c r="J10" s="43">
        <v>13760</v>
      </c>
      <c r="L10" s="400">
        <f>+L8</f>
        <v>13760</v>
      </c>
      <c r="N10" s="32">
        <f>+N8</f>
        <v>13760</v>
      </c>
      <c r="O10" s="32"/>
      <c r="P10" s="32">
        <f>+P8</f>
        <v>13760</v>
      </c>
      <c r="Q10" s="32">
        <f>+Q8</f>
        <v>13760</v>
      </c>
    </row>
    <row r="11" spans="1:17" ht="6.9" customHeight="1" x14ac:dyDescent="0.35">
      <c r="C11" s="32"/>
      <c r="D11" s="23"/>
      <c r="E11" s="232"/>
      <c r="F11" s="225"/>
      <c r="H11" s="43"/>
      <c r="J11" s="43"/>
      <c r="L11" s="400"/>
      <c r="N11" s="32"/>
      <c r="O11" s="32"/>
      <c r="P11" s="32"/>
      <c r="Q11" s="405"/>
    </row>
    <row r="12" spans="1:17" x14ac:dyDescent="0.35">
      <c r="A12" s="24" t="s">
        <v>3</v>
      </c>
      <c r="C12" s="32"/>
      <c r="D12" s="23"/>
      <c r="E12" s="232"/>
      <c r="F12" s="225"/>
      <c r="H12" s="43"/>
      <c r="J12" s="43"/>
      <c r="L12" s="400"/>
      <c r="N12" s="32"/>
      <c r="O12" s="32"/>
      <c r="P12" s="32"/>
      <c r="Q12" s="405"/>
    </row>
    <row r="13" spans="1:17" x14ac:dyDescent="0.35">
      <c r="A13" s="1" t="s">
        <v>272</v>
      </c>
      <c r="B13" s="1" t="s">
        <v>302</v>
      </c>
      <c r="C13" s="254">
        <f>-'2018 Ck Reg'!F56</f>
        <v>8002.46</v>
      </c>
      <c r="D13" s="214"/>
      <c r="E13" s="232">
        <v>10200</v>
      </c>
      <c r="F13" s="225">
        <f>+'2019 ByMo'!D9</f>
        <v>8142.25</v>
      </c>
      <c r="H13" s="43">
        <f>+'2020 ByMo'!C9</f>
        <v>6660</v>
      </c>
      <c r="J13" s="43">
        <v>6660</v>
      </c>
      <c r="L13" s="400">
        <f>+'2020 ByMo'!D9</f>
        <v>6600</v>
      </c>
      <c r="N13" s="32">
        <f>+'2021 ByMo'!C9</f>
        <v>7020</v>
      </c>
      <c r="O13" s="32"/>
      <c r="P13" s="32">
        <f>+'2021 ByMo'!D9</f>
        <v>6050</v>
      </c>
      <c r="Q13" s="32">
        <f>+'2022 ByMo'!D9</f>
        <v>7150</v>
      </c>
    </row>
    <row r="14" spans="1:17" x14ac:dyDescent="0.35">
      <c r="B14" s="1" t="s">
        <v>303</v>
      </c>
      <c r="C14" s="254"/>
      <c r="D14" s="214"/>
      <c r="E14" s="232">
        <v>500</v>
      </c>
      <c r="F14" s="225">
        <f>+'2019 ByMo'!D10</f>
        <v>432.57000000000005</v>
      </c>
      <c r="H14" s="43">
        <f>+'2020 ByMo'!C10</f>
        <v>1480</v>
      </c>
      <c r="J14" s="43">
        <v>1480</v>
      </c>
      <c r="L14" s="400">
        <f>+'2020 ByMo'!D10</f>
        <v>726.24999999999989</v>
      </c>
      <c r="N14" s="32">
        <f>+'2021 ByMo'!C10</f>
        <v>1480</v>
      </c>
      <c r="O14" s="32"/>
      <c r="P14" s="32">
        <f>+'2021 ByMo'!D10</f>
        <v>0</v>
      </c>
      <c r="Q14" s="32">
        <f>+'2022 ByMo'!D10</f>
        <v>285.89</v>
      </c>
    </row>
    <row r="15" spans="1:17" x14ac:dyDescent="0.35">
      <c r="B15" s="1" t="s">
        <v>304</v>
      </c>
      <c r="C15" s="254"/>
      <c r="D15" s="214"/>
      <c r="E15" s="232">
        <v>4750</v>
      </c>
      <c r="F15" s="225">
        <f>+'2019 ByMo'!D11</f>
        <v>8799.75</v>
      </c>
      <c r="H15" s="43">
        <f>+'2020 ByMo'!C11</f>
        <v>2580</v>
      </c>
      <c r="J15" s="43">
        <v>2580</v>
      </c>
      <c r="L15" s="400">
        <f>+'2020 ByMo'!D11</f>
        <v>2850</v>
      </c>
      <c r="N15" s="32">
        <f>+'2021 ByMo'!C11</f>
        <v>1150</v>
      </c>
      <c r="O15" s="32"/>
      <c r="P15" s="32">
        <f>+'2021 ByMo'!D11</f>
        <v>593.54</v>
      </c>
      <c r="Q15" s="32">
        <f>+'2022 ByMo'!D11</f>
        <v>700</v>
      </c>
    </row>
    <row r="16" spans="1:17" ht="14.4" customHeight="1" x14ac:dyDescent="0.35">
      <c r="C16" s="254"/>
      <c r="D16" s="214"/>
      <c r="E16" s="232"/>
      <c r="F16" s="225"/>
      <c r="H16" s="43"/>
      <c r="J16" s="43"/>
      <c r="L16" s="400"/>
      <c r="N16" s="32"/>
      <c r="O16" s="32"/>
      <c r="P16" s="32"/>
      <c r="Q16" s="32"/>
    </row>
    <row r="17" spans="1:17" ht="15.75" customHeight="1" x14ac:dyDescent="0.35">
      <c r="A17" s="1" t="s">
        <v>48</v>
      </c>
      <c r="B17" s="1" t="s">
        <v>305</v>
      </c>
      <c r="C17" s="32">
        <f>-'2018 Ck Reg'!E56</f>
        <v>702</v>
      </c>
      <c r="D17" s="23"/>
      <c r="E17" s="232">
        <v>780</v>
      </c>
      <c r="F17" s="225">
        <f>+'2019 ByMo'!D13</f>
        <v>790.7</v>
      </c>
      <c r="H17" s="43">
        <f>+'2020 ByMo'!C13</f>
        <v>1050.0000000000002</v>
      </c>
      <c r="J17" s="43">
        <v>1050.0000000000002</v>
      </c>
      <c r="L17" s="400">
        <f>+'2020 ByMo'!D13</f>
        <v>1048.7300000000002</v>
      </c>
      <c r="N17" s="32">
        <f>+'2021 ByMo'!C13</f>
        <v>1080</v>
      </c>
      <c r="O17" s="32"/>
      <c r="P17" s="32">
        <f>+'2021 ByMo'!D13</f>
        <v>1032.9600000000003</v>
      </c>
      <c r="Q17" s="32">
        <f>+'2022 ByMo'!D13</f>
        <v>1032.9600000000003</v>
      </c>
    </row>
    <row r="18" spans="1:17" ht="6.9" customHeight="1" x14ac:dyDescent="0.35">
      <c r="C18" s="254"/>
      <c r="D18" s="214"/>
      <c r="E18" s="232"/>
      <c r="F18" s="225"/>
      <c r="H18" s="43"/>
      <c r="J18" s="43"/>
      <c r="L18" s="400"/>
      <c r="N18" s="32"/>
      <c r="O18" s="32"/>
      <c r="P18" s="32"/>
      <c r="Q18" s="32"/>
    </row>
    <row r="19" spans="1:17" ht="15.75" customHeight="1" x14ac:dyDescent="0.35">
      <c r="A19" s="1" t="s">
        <v>46</v>
      </c>
      <c r="B19" s="1" t="s">
        <v>253</v>
      </c>
      <c r="C19" s="254">
        <f>-'2018 Ck Reg'!I56-'2018 Ck Reg'!J56</f>
        <v>52.3</v>
      </c>
      <c r="D19" s="214"/>
      <c r="E19" s="232">
        <v>105</v>
      </c>
      <c r="F19" s="225">
        <f>+'2019 ByMo'!D15</f>
        <v>68</v>
      </c>
      <c r="H19" s="43">
        <f>+'2020 ByMo'!C15</f>
        <v>50</v>
      </c>
      <c r="J19" s="43">
        <v>50</v>
      </c>
      <c r="L19" s="400">
        <f>+'2020 ByMo'!D15</f>
        <v>119.5</v>
      </c>
      <c r="N19" s="32">
        <f>+'2021 ByMo'!C15</f>
        <v>60</v>
      </c>
      <c r="O19" s="32"/>
      <c r="P19" s="32">
        <f>+'2021 ByMo'!D15</f>
        <v>48</v>
      </c>
      <c r="Q19" s="32">
        <f>+'2022 ByMo'!D15</f>
        <v>48</v>
      </c>
    </row>
    <row r="20" spans="1:17" ht="6.9" customHeight="1" x14ac:dyDescent="0.35">
      <c r="C20" s="32"/>
      <c r="D20" s="23"/>
      <c r="E20" s="232"/>
      <c r="F20" s="225"/>
      <c r="H20" s="43"/>
      <c r="J20" s="43"/>
      <c r="L20" s="400"/>
      <c r="N20" s="32"/>
      <c r="O20" s="32"/>
      <c r="P20" s="32"/>
      <c r="Q20" s="32"/>
    </row>
    <row r="21" spans="1:17" x14ac:dyDescent="0.35">
      <c r="A21" s="1" t="s">
        <v>45</v>
      </c>
      <c r="B21" s="1" t="s">
        <v>16</v>
      </c>
      <c r="C21" s="254">
        <f>-'2018 Ck Reg'!G56</f>
        <v>1152.77</v>
      </c>
      <c r="D21" s="214"/>
      <c r="E21" s="232">
        <v>1200</v>
      </c>
      <c r="F21" s="225">
        <f>+'2019 ByMo'!D17</f>
        <v>647.21999999999991</v>
      </c>
      <c r="H21" s="43">
        <f>+'2020 ByMo'!C17</f>
        <v>1170</v>
      </c>
      <c r="J21" s="43">
        <v>1170</v>
      </c>
      <c r="L21" s="400">
        <f>+'2020 ByMo'!D17</f>
        <v>1298.5500000000002</v>
      </c>
      <c r="N21" s="32">
        <f>+'2021 ByMo'!C17</f>
        <v>1210</v>
      </c>
      <c r="O21" s="32"/>
      <c r="P21" s="32">
        <f>+'2021 ByMo'!D17</f>
        <v>1077.3899999999999</v>
      </c>
      <c r="Q21" s="32">
        <f>+'2022 ByMo'!D17</f>
        <v>1746.94</v>
      </c>
    </row>
    <row r="22" spans="1:17" x14ac:dyDescent="0.35">
      <c r="B22" s="1" t="s">
        <v>17</v>
      </c>
      <c r="C22" s="254">
        <f>-'2018 Ck Reg'!H56</f>
        <v>126.5</v>
      </c>
      <c r="D22" s="214"/>
      <c r="E22" s="232">
        <v>150</v>
      </c>
      <c r="F22" s="225">
        <f>+'2019 ByMo'!D18</f>
        <v>93.490000000000009</v>
      </c>
      <c r="H22" s="43">
        <f>+'2020 ByMo'!C18</f>
        <v>0</v>
      </c>
      <c r="J22" s="43">
        <v>0</v>
      </c>
      <c r="L22" s="400">
        <f>+'2020 ByMo'!D18</f>
        <v>0</v>
      </c>
      <c r="N22" s="32">
        <f>+'2021 ByMo'!C18</f>
        <v>0</v>
      </c>
      <c r="O22" s="32"/>
      <c r="P22" s="32">
        <f>+'2021 ByMo'!D18</f>
        <v>0</v>
      </c>
      <c r="Q22" s="32"/>
    </row>
    <row r="23" spans="1:17" ht="6.9" customHeight="1" x14ac:dyDescent="0.35">
      <c r="C23" s="32"/>
      <c r="D23" s="23"/>
      <c r="E23" s="232"/>
      <c r="F23" s="225"/>
      <c r="H23" s="43"/>
      <c r="J23" s="43"/>
      <c r="L23" s="400"/>
      <c r="N23" s="32"/>
      <c r="O23" s="32"/>
      <c r="P23" s="32"/>
      <c r="Q23" s="32"/>
    </row>
    <row r="24" spans="1:17" x14ac:dyDescent="0.35">
      <c r="A24" s="1" t="s">
        <v>56</v>
      </c>
      <c r="B24" s="1" t="s">
        <v>30</v>
      </c>
      <c r="C24" s="32"/>
      <c r="D24" s="23"/>
      <c r="E24" s="232">
        <v>50</v>
      </c>
      <c r="F24" s="225">
        <f>+'2019 ByMo'!D20</f>
        <v>171.9</v>
      </c>
      <c r="H24" s="43">
        <f>+'2020 ByMo'!C20</f>
        <v>330</v>
      </c>
      <c r="J24" s="43">
        <v>330</v>
      </c>
      <c r="L24" s="400">
        <f>+'2020 ByMo'!D20</f>
        <v>378.84</v>
      </c>
      <c r="N24" s="32">
        <f>+'2021 ByMo'!C20</f>
        <v>350</v>
      </c>
      <c r="O24" s="32"/>
      <c r="P24" s="32">
        <f>+'2021 ByMo'!D20</f>
        <v>0</v>
      </c>
      <c r="Q24" s="32">
        <f>+'2022 ByMo'!D19</f>
        <v>779.19</v>
      </c>
    </row>
    <row r="25" spans="1:17" x14ac:dyDescent="0.35">
      <c r="B25" s="1" t="s">
        <v>283</v>
      </c>
      <c r="C25" s="54">
        <f>-'2018 Ck Reg'!K38</f>
        <v>250</v>
      </c>
      <c r="D25" s="218"/>
      <c r="E25" s="232">
        <f>165+55</f>
        <v>220</v>
      </c>
      <c r="F25" s="225">
        <f>+'2019 ByMo'!D21+'2019 ByMo'!D22</f>
        <v>343.28</v>
      </c>
      <c r="H25" s="43">
        <f>+'2020 ByMo'!C21+'2020 ByMo'!C22</f>
        <v>140</v>
      </c>
      <c r="J25" s="43">
        <v>140</v>
      </c>
      <c r="L25" s="400">
        <f>+'2020 ByMo'!D21+'2020 ByMo'!D22</f>
        <v>0</v>
      </c>
      <c r="N25" s="32">
        <f>+'2021 ByMo'!C21+'2021 ByMo'!C22</f>
        <v>110</v>
      </c>
      <c r="O25" s="32"/>
      <c r="P25" s="32">
        <f>+'2021 ByMo'!D21+'2021 ByMo'!D22</f>
        <v>0</v>
      </c>
      <c r="Q25" s="32">
        <f>+'2022 ByMo'!D20+'2022 ByMo'!D21</f>
        <v>416</v>
      </c>
    </row>
    <row r="26" spans="1:17" x14ac:dyDescent="0.35">
      <c r="B26" s="1" t="s">
        <v>159</v>
      </c>
      <c r="C26" s="259">
        <v>0</v>
      </c>
      <c r="D26" s="260"/>
      <c r="E26" s="235">
        <v>0</v>
      </c>
      <c r="F26" s="234">
        <f>+'2019 ByMo'!D23</f>
        <v>0</v>
      </c>
      <c r="G26" s="261"/>
      <c r="H26" s="245">
        <f>+'2020 ByMo'!C23</f>
        <v>300</v>
      </c>
      <c r="J26" s="245">
        <v>300</v>
      </c>
      <c r="L26" s="402">
        <f>+'2020 ByMo'!D23</f>
        <v>0</v>
      </c>
      <c r="N26" s="32">
        <f>+'2021 ByMo'!C23</f>
        <v>300</v>
      </c>
      <c r="O26" s="32"/>
      <c r="P26" s="32">
        <f>+'2021 ByMo'!D23</f>
        <v>0</v>
      </c>
      <c r="Q26" s="32">
        <f>+'2022 ByMo'!D22</f>
        <v>0</v>
      </c>
    </row>
    <row r="27" spans="1:17" ht="18.5" x14ac:dyDescent="0.65">
      <c r="A27" s="3" t="s">
        <v>24</v>
      </c>
      <c r="C27" s="255">
        <f>SUM(C13:C26)</f>
        <v>10286.029999999999</v>
      </c>
      <c r="D27" s="219"/>
      <c r="E27" s="236">
        <f>SUM(E13:E26)</f>
        <v>17955</v>
      </c>
      <c r="F27" s="237">
        <f>SUM(F13:F26)</f>
        <v>19489.160000000003</v>
      </c>
      <c r="H27" s="246">
        <f>SUM(H13:H26)</f>
        <v>13760</v>
      </c>
      <c r="J27" s="246">
        <f>SUM(J13:J26)</f>
        <v>13760</v>
      </c>
      <c r="L27" s="403">
        <f>SUM(L13:L26)</f>
        <v>13021.869999999999</v>
      </c>
      <c r="N27" s="407">
        <f>SUM(N13:N26)</f>
        <v>12760</v>
      </c>
      <c r="O27" s="407"/>
      <c r="P27" s="407">
        <f>SUM(P13:P26)</f>
        <v>8801.89</v>
      </c>
      <c r="Q27" s="407">
        <f>SUM(Q13:Q26)</f>
        <v>12158.980000000001</v>
      </c>
    </row>
    <row r="28" spans="1:17" ht="1.5" customHeight="1" x14ac:dyDescent="0.65">
      <c r="C28" s="255"/>
      <c r="D28" s="219"/>
      <c r="E28" s="238"/>
      <c r="F28" s="237"/>
      <c r="H28" s="247"/>
      <c r="J28" s="247"/>
      <c r="L28" s="398"/>
      <c r="N28" s="405"/>
      <c r="O28" s="405"/>
      <c r="P28" s="405"/>
      <c r="Q28" s="405"/>
    </row>
    <row r="29" spans="1:17" ht="16" thickBot="1" x14ac:dyDescent="0.4">
      <c r="A29" s="3" t="s">
        <v>50</v>
      </c>
      <c r="C29" s="55">
        <f>+C5+C10-C27</f>
        <v>23374.07</v>
      </c>
      <c r="D29" s="216"/>
      <c r="E29" s="239">
        <f>+E5+E10-E27</f>
        <v>17415.07</v>
      </c>
      <c r="F29" s="240">
        <f>+F5+F10-F27</f>
        <v>17009.909999999996</v>
      </c>
      <c r="H29" s="209">
        <f>+H5+H10-H27</f>
        <v>17009.909999999996</v>
      </c>
      <c r="I29" s="404"/>
      <c r="J29" s="209">
        <f>+J5+J10-J27</f>
        <v>17422.96</v>
      </c>
      <c r="K29" s="404"/>
      <c r="L29" s="240">
        <f>+L5+L10-L27</f>
        <v>17748.039999999997</v>
      </c>
      <c r="N29" s="408">
        <f>+N5+N10-N27</f>
        <v>18748.039999999997</v>
      </c>
      <c r="O29" s="408"/>
      <c r="P29" s="408">
        <f>+P5+P10-P27</f>
        <v>22706.149999999998</v>
      </c>
      <c r="Q29" s="408">
        <f>+Q5+Q10-Q27</f>
        <v>24307.169999999991</v>
      </c>
    </row>
    <row r="30" spans="1:17" ht="9.75" customHeight="1" thickBot="1" x14ac:dyDescent="0.4">
      <c r="A30" s="3"/>
      <c r="C30" s="216"/>
      <c r="D30" s="216"/>
      <c r="E30" s="215"/>
      <c r="F30" s="215"/>
      <c r="H30" s="215"/>
    </row>
    <row r="31" spans="1:17" ht="16.5" customHeight="1" thickBot="1" x14ac:dyDescent="0.4">
      <c r="C31" s="220" t="s">
        <v>151</v>
      </c>
      <c r="D31" s="220"/>
      <c r="F31" s="241">
        <f>+F29-E29</f>
        <v>-405.16000000000349</v>
      </c>
      <c r="J31" s="23"/>
    </row>
    <row r="32" spans="1:17" ht="5.25" customHeight="1" x14ac:dyDescent="0.35">
      <c r="C32" s="220"/>
      <c r="D32" s="220"/>
      <c r="F32" s="215"/>
    </row>
    <row r="33" spans="1:17" ht="19.5" customHeight="1" x14ac:dyDescent="0.35">
      <c r="A33" s="24" t="s">
        <v>53</v>
      </c>
      <c r="B33" s="155"/>
      <c r="C33" s="180"/>
      <c r="D33" s="180"/>
      <c r="E33" s="165"/>
    </row>
    <row r="34" spans="1:17" ht="17.25" customHeight="1" x14ac:dyDescent="0.35">
      <c r="A34" s="192" t="s">
        <v>236</v>
      </c>
      <c r="B34" s="183"/>
      <c r="C34" s="286">
        <f>+C1</f>
        <v>2018</v>
      </c>
      <c r="D34" s="183"/>
      <c r="E34" s="274"/>
      <c r="F34" s="286">
        <f>+E1</f>
        <v>2019</v>
      </c>
      <c r="G34" s="208"/>
      <c r="H34" s="187"/>
    </row>
    <row r="35" spans="1:17" x14ac:dyDescent="0.35">
      <c r="A35" s="185"/>
      <c r="B35" s="186" t="s">
        <v>153</v>
      </c>
      <c r="C35" s="160">
        <f>(+C8/375)-32</f>
        <v>-4</v>
      </c>
      <c r="D35" s="287"/>
      <c r="E35" s="275"/>
      <c r="F35" s="160">
        <f>(+F8/375)-32</f>
        <v>3</v>
      </c>
      <c r="G35" s="186"/>
      <c r="H35" s="189"/>
    </row>
    <row r="36" spans="1:17" ht="15.75" customHeight="1" x14ac:dyDescent="0.35">
      <c r="A36" s="498" t="s">
        <v>306</v>
      </c>
      <c r="B36" s="499"/>
      <c r="C36" s="499"/>
      <c r="D36" s="499"/>
      <c r="E36" s="499"/>
      <c r="F36" s="499"/>
      <c r="G36" s="499"/>
      <c r="H36" s="500"/>
      <c r="I36" s="265"/>
      <c r="J36" s="265"/>
      <c r="K36" s="265"/>
    </row>
    <row r="37" spans="1:17" ht="45.75" customHeight="1" x14ac:dyDescent="0.35">
      <c r="A37" s="501"/>
      <c r="B37" s="502"/>
      <c r="C37" s="502"/>
      <c r="D37" s="502"/>
      <c r="E37" s="502"/>
      <c r="F37" s="502"/>
      <c r="G37" s="502"/>
      <c r="H37" s="503"/>
      <c r="I37" s="265"/>
      <c r="J37" s="265"/>
      <c r="K37" s="265"/>
    </row>
    <row r="38" spans="1:17" x14ac:dyDescent="0.35">
      <c r="A38" s="481" t="s">
        <v>307</v>
      </c>
      <c r="B38" s="482"/>
      <c r="C38" s="482"/>
      <c r="D38" s="482"/>
      <c r="E38" s="482"/>
      <c r="F38" s="482"/>
      <c r="G38" s="482"/>
      <c r="H38" s="483"/>
    </row>
    <row r="39" spans="1:17" ht="15.75" customHeight="1" x14ac:dyDescent="0.35">
      <c r="A39" s="484" t="s">
        <v>320</v>
      </c>
      <c r="B39" s="485"/>
      <c r="C39" s="485"/>
      <c r="D39" s="485"/>
      <c r="E39" s="485"/>
      <c r="F39" s="485"/>
      <c r="G39" s="485"/>
      <c r="H39" s="486"/>
      <c r="I39" s="266"/>
      <c r="J39" s="266"/>
      <c r="K39" s="266"/>
      <c r="L39" s="266"/>
      <c r="M39" s="266"/>
      <c r="N39" s="266"/>
      <c r="O39" s="266"/>
      <c r="P39" s="266"/>
      <c r="Q39" s="266"/>
    </row>
    <row r="40" spans="1:17" x14ac:dyDescent="0.35">
      <c r="A40" s="487"/>
      <c r="B40" s="488"/>
      <c r="C40" s="488"/>
      <c r="D40" s="488"/>
      <c r="E40" s="488"/>
      <c r="F40" s="488"/>
      <c r="G40" s="488"/>
      <c r="H40" s="489"/>
      <c r="I40" s="266"/>
      <c r="J40" s="266"/>
      <c r="K40" s="266"/>
      <c r="L40" s="266"/>
      <c r="M40" s="266"/>
      <c r="N40" s="266"/>
      <c r="O40" s="266"/>
      <c r="P40" s="266"/>
      <c r="Q40" s="266"/>
    </row>
    <row r="41" spans="1:17" ht="67.5" customHeight="1" x14ac:dyDescent="0.35">
      <c r="A41" s="490"/>
      <c r="B41" s="491"/>
      <c r="C41" s="491"/>
      <c r="D41" s="491"/>
      <c r="E41" s="491"/>
      <c r="F41" s="491"/>
      <c r="G41" s="491"/>
      <c r="H41" s="492"/>
      <c r="I41" s="266"/>
      <c r="J41" s="266"/>
      <c r="K41" s="266"/>
      <c r="L41" s="266"/>
      <c r="M41" s="266"/>
      <c r="N41" s="266"/>
      <c r="O41" s="266"/>
      <c r="P41" s="266"/>
      <c r="Q41" s="266"/>
    </row>
    <row r="42" spans="1:17" x14ac:dyDescent="0.35">
      <c r="A42" s="495" t="s">
        <v>308</v>
      </c>
      <c r="B42" s="496"/>
      <c r="C42" s="496"/>
      <c r="D42" s="496"/>
      <c r="E42" s="496"/>
      <c r="F42" s="496"/>
      <c r="G42" s="496"/>
      <c r="H42" s="497"/>
    </row>
    <row r="48" spans="1:17" s="9" customFormat="1" x14ac:dyDescent="0.35">
      <c r="A48" s="1"/>
      <c r="B48" s="1"/>
      <c r="C48" s="1"/>
      <c r="D48" s="1"/>
      <c r="E48" s="2"/>
    </row>
    <row r="49" spans="1:21" s="9" customFormat="1" ht="17" x14ac:dyDescent="0.5">
      <c r="A49" s="1"/>
      <c r="B49" s="1"/>
      <c r="C49" s="1"/>
      <c r="D49" s="1"/>
      <c r="E49" s="2"/>
      <c r="K49" s="292" t="s">
        <v>163</v>
      </c>
      <c r="L49" s="292" t="s">
        <v>321</v>
      </c>
      <c r="M49" s="292" t="s">
        <v>374</v>
      </c>
      <c r="N49" s="292" t="s">
        <v>384</v>
      </c>
      <c r="O49" s="292" t="s">
        <v>411</v>
      </c>
      <c r="Q49" s="292" t="s">
        <v>163</v>
      </c>
      <c r="R49" s="292" t="s">
        <v>321</v>
      </c>
      <c r="S49" s="292" t="s">
        <v>374</v>
      </c>
      <c r="T49" s="292" t="s">
        <v>384</v>
      </c>
      <c r="U49" s="264" t="s">
        <v>411</v>
      </c>
    </row>
    <row r="50" spans="1:21" s="9" customFormat="1" x14ac:dyDescent="0.35">
      <c r="A50" s="1"/>
      <c r="J50" s="155" t="s">
        <v>274</v>
      </c>
      <c r="K50" s="283">
        <f>+C13</f>
        <v>8002.46</v>
      </c>
      <c r="L50" s="283">
        <f>+F13</f>
        <v>8142.25</v>
      </c>
      <c r="M50" s="283">
        <f>+L13</f>
        <v>6600</v>
      </c>
      <c r="N50" s="283">
        <f t="shared" ref="N50:O52" si="0">+P13</f>
        <v>6050</v>
      </c>
      <c r="O50" s="283">
        <f t="shared" si="0"/>
        <v>7150</v>
      </c>
      <c r="Q50" s="294">
        <f t="shared" ref="Q50:U56" si="1">+K50/32</f>
        <v>250.076875</v>
      </c>
      <c r="R50" s="294">
        <f t="shared" si="1"/>
        <v>254.4453125</v>
      </c>
      <c r="S50" s="294">
        <f t="shared" si="1"/>
        <v>206.25</v>
      </c>
      <c r="T50" s="294">
        <f t="shared" si="1"/>
        <v>189.0625</v>
      </c>
      <c r="U50" s="294">
        <f t="shared" si="1"/>
        <v>223.4375</v>
      </c>
    </row>
    <row r="51" spans="1:21" s="9" customFormat="1" x14ac:dyDescent="0.35">
      <c r="A51" s="1"/>
      <c r="J51" s="155" t="s">
        <v>275</v>
      </c>
      <c r="K51" s="283">
        <f>+C14</f>
        <v>0</v>
      </c>
      <c r="L51" s="283">
        <f>+F14</f>
        <v>432.57000000000005</v>
      </c>
      <c r="M51" s="283">
        <f>+L14</f>
        <v>726.24999999999989</v>
      </c>
      <c r="N51" s="283">
        <f t="shared" si="0"/>
        <v>0</v>
      </c>
      <c r="O51" s="283">
        <f t="shared" si="0"/>
        <v>285.89</v>
      </c>
      <c r="Q51" s="294">
        <f t="shared" si="1"/>
        <v>0</v>
      </c>
      <c r="R51" s="294">
        <f t="shared" si="1"/>
        <v>13.517812500000002</v>
      </c>
      <c r="S51" s="294">
        <f t="shared" si="1"/>
        <v>22.695312499999996</v>
      </c>
      <c r="T51" s="294">
        <f t="shared" si="1"/>
        <v>0</v>
      </c>
      <c r="U51" s="294">
        <f t="shared" si="1"/>
        <v>8.9340624999999996</v>
      </c>
    </row>
    <row r="52" spans="1:21" s="9" customFormat="1" x14ac:dyDescent="0.35">
      <c r="A52" s="1"/>
      <c r="J52" s="155" t="s">
        <v>284</v>
      </c>
      <c r="K52" s="283">
        <f>+C15</f>
        <v>0</v>
      </c>
      <c r="L52" s="283">
        <f>+F15</f>
        <v>8799.75</v>
      </c>
      <c r="M52" s="283">
        <f>+L15</f>
        <v>2850</v>
      </c>
      <c r="N52" s="283">
        <f t="shared" si="0"/>
        <v>593.54</v>
      </c>
      <c r="O52" s="283">
        <f t="shared" si="0"/>
        <v>700</v>
      </c>
      <c r="Q52" s="294">
        <f>+K52/32</f>
        <v>0</v>
      </c>
      <c r="R52" s="294">
        <f>+L52/32</f>
        <v>274.9921875</v>
      </c>
      <c r="S52" s="294">
        <f>+M52/32</f>
        <v>89.0625</v>
      </c>
      <c r="T52" s="294">
        <f>+N52/32</f>
        <v>18.548124999999999</v>
      </c>
      <c r="U52" s="294">
        <f>+O52/32</f>
        <v>21.875</v>
      </c>
    </row>
    <row r="53" spans="1:21" s="9" customFormat="1" x14ac:dyDescent="0.35">
      <c r="A53" s="1"/>
      <c r="J53" s="155" t="s">
        <v>4</v>
      </c>
      <c r="K53" s="283">
        <f>+C17</f>
        <v>702</v>
      </c>
      <c r="L53" s="283">
        <f>+F17</f>
        <v>790.7</v>
      </c>
      <c r="M53" s="283">
        <f>+L17</f>
        <v>1048.7300000000002</v>
      </c>
      <c r="N53" s="283">
        <f>+P17</f>
        <v>1032.9600000000003</v>
      </c>
      <c r="O53" s="283">
        <f>+Q17</f>
        <v>1032.9600000000003</v>
      </c>
      <c r="Q53" s="294">
        <f t="shared" si="1"/>
        <v>21.9375</v>
      </c>
      <c r="R53" s="294">
        <f t="shared" si="1"/>
        <v>24.709375000000001</v>
      </c>
      <c r="S53" s="294">
        <f t="shared" si="1"/>
        <v>32.772812500000008</v>
      </c>
      <c r="T53" s="294">
        <f t="shared" si="1"/>
        <v>32.280000000000008</v>
      </c>
      <c r="U53" s="294">
        <f t="shared" si="1"/>
        <v>32.280000000000008</v>
      </c>
    </row>
    <row r="54" spans="1:21" s="9" customFormat="1" x14ac:dyDescent="0.35">
      <c r="A54" s="1"/>
      <c r="J54" s="291" t="s">
        <v>233</v>
      </c>
      <c r="K54" s="283">
        <f>+C21+C22</f>
        <v>1279.27</v>
      </c>
      <c r="L54" s="283">
        <f>+F21+F22</f>
        <v>740.70999999999992</v>
      </c>
      <c r="M54" s="283">
        <f>+L21+L22</f>
        <v>1298.5500000000002</v>
      </c>
      <c r="N54" s="283">
        <f>+P21+P22</f>
        <v>1077.3899999999999</v>
      </c>
      <c r="O54" s="283">
        <f>+Q21</f>
        <v>1746.94</v>
      </c>
      <c r="Q54" s="294">
        <f t="shared" si="1"/>
        <v>39.977187499999999</v>
      </c>
      <c r="R54" s="294">
        <f t="shared" si="1"/>
        <v>23.147187499999998</v>
      </c>
      <c r="S54" s="294">
        <f t="shared" si="1"/>
        <v>40.579687500000006</v>
      </c>
      <c r="T54" s="294">
        <f t="shared" si="1"/>
        <v>33.668437499999996</v>
      </c>
      <c r="U54" s="294">
        <f t="shared" si="1"/>
        <v>54.591875000000002</v>
      </c>
    </row>
    <row r="55" spans="1:21" s="9" customFormat="1" ht="17" x14ac:dyDescent="0.5">
      <c r="A55" s="1"/>
      <c r="J55" s="155" t="s">
        <v>82</v>
      </c>
      <c r="K55" s="284">
        <f>+C19+C24+C25+C26</f>
        <v>302.3</v>
      </c>
      <c r="L55" s="284">
        <f>+F19+F24+F25+F26</f>
        <v>583.17999999999995</v>
      </c>
      <c r="M55" s="284">
        <f>+L19+L24+L25+L26</f>
        <v>498.34</v>
      </c>
      <c r="N55" s="284">
        <f>+P19+P24+P25+P26</f>
        <v>48</v>
      </c>
      <c r="O55" s="284">
        <f>+Q19+Q24+Q25+Q26</f>
        <v>1243.19</v>
      </c>
      <c r="Q55" s="295">
        <f t="shared" si="1"/>
        <v>9.4468750000000004</v>
      </c>
      <c r="R55" s="295">
        <f t="shared" si="1"/>
        <v>18.224374999999998</v>
      </c>
      <c r="S55" s="295">
        <f t="shared" si="1"/>
        <v>15.573124999999999</v>
      </c>
      <c r="T55" s="295">
        <f t="shared" si="1"/>
        <v>1.5</v>
      </c>
      <c r="U55" s="295">
        <f t="shared" si="1"/>
        <v>38.849687500000002</v>
      </c>
    </row>
    <row r="56" spans="1:21" s="9" customFormat="1" x14ac:dyDescent="0.35">
      <c r="A56" s="1"/>
      <c r="J56" s="155"/>
      <c r="K56" s="283">
        <f>SUM(K50:K55)</f>
        <v>10286.029999999999</v>
      </c>
      <c r="L56" s="283">
        <f>SUM(L50:L55)</f>
        <v>19489.16</v>
      </c>
      <c r="M56" s="283">
        <f>SUM(M50:M55)</f>
        <v>13021.869999999999</v>
      </c>
      <c r="N56" s="283">
        <f>SUM(N50:N55)</f>
        <v>8801.89</v>
      </c>
      <c r="O56" s="283">
        <f>SUM(O50:O55)</f>
        <v>12158.980000000001</v>
      </c>
      <c r="Q56" s="294">
        <f t="shared" si="1"/>
        <v>321.43843749999996</v>
      </c>
      <c r="R56" s="294">
        <f t="shared" si="1"/>
        <v>609.03625</v>
      </c>
      <c r="S56" s="294">
        <f t="shared" si="1"/>
        <v>406.93343749999997</v>
      </c>
      <c r="T56" s="294">
        <f t="shared" si="1"/>
        <v>275.05906249999998</v>
      </c>
      <c r="U56" s="294">
        <f t="shared" si="1"/>
        <v>379.96812500000004</v>
      </c>
    </row>
    <row r="57" spans="1:21" s="9" customFormat="1" x14ac:dyDescent="0.35">
      <c r="A57" s="1"/>
      <c r="J57" s="155"/>
      <c r="K57" s="283"/>
      <c r="L57" s="293"/>
      <c r="M57" s="293"/>
      <c r="N57" s="293"/>
      <c r="O57" s="293"/>
      <c r="P57" s="291" t="s">
        <v>267</v>
      </c>
      <c r="Q57" s="312">
        <v>375</v>
      </c>
      <c r="R57" s="312">
        <v>375</v>
      </c>
      <c r="S57" s="312">
        <v>430</v>
      </c>
      <c r="T57" s="312">
        <v>430</v>
      </c>
      <c r="U57" s="312">
        <v>430</v>
      </c>
    </row>
    <row r="58" spans="1:21" s="9" customFormat="1" x14ac:dyDescent="0.35">
      <c r="A58" s="1"/>
      <c r="J58" s="155" t="s">
        <v>50</v>
      </c>
      <c r="K58" s="283">
        <f>+C29</f>
        <v>23374.07</v>
      </c>
      <c r="L58" s="283">
        <f>+F29</f>
        <v>17009.909999999996</v>
      </c>
      <c r="M58" s="283">
        <f>+L29</f>
        <v>17748.039999999997</v>
      </c>
      <c r="N58" s="283">
        <f>+P29</f>
        <v>22706.149999999998</v>
      </c>
      <c r="O58" s="283">
        <f>+Q29</f>
        <v>24307.169999999991</v>
      </c>
    </row>
    <row r="59" spans="1:21" s="9" customFormat="1" x14ac:dyDescent="0.35">
      <c r="A59" s="1"/>
      <c r="B59" s="1"/>
      <c r="C59" s="1"/>
      <c r="D59" s="1"/>
      <c r="E59" s="2"/>
    </row>
    <row r="60" spans="1:21" s="9" customFormat="1" x14ac:dyDescent="0.35">
      <c r="A60" s="1"/>
      <c r="B60" s="1"/>
      <c r="C60" s="1"/>
      <c r="D60" s="1"/>
      <c r="E60" s="2"/>
    </row>
    <row r="61" spans="1:21" s="9" customFormat="1" x14ac:dyDescent="0.35">
      <c r="A61" s="1"/>
      <c r="B61" s="1"/>
      <c r="C61" s="1"/>
      <c r="D61" s="1"/>
      <c r="E61" s="2"/>
    </row>
    <row r="62" spans="1:21" s="9" customFormat="1" x14ac:dyDescent="0.35">
      <c r="A62" s="1"/>
      <c r="B62" s="1"/>
      <c r="C62" s="1"/>
      <c r="D62" s="1"/>
      <c r="E62" s="2"/>
    </row>
    <row r="63" spans="1:21" s="9" customFormat="1" x14ac:dyDescent="0.35">
      <c r="A63" s="1"/>
      <c r="B63" s="1"/>
      <c r="C63" s="1"/>
      <c r="D63" s="1"/>
      <c r="E63" s="2"/>
    </row>
    <row r="64" spans="1:21" s="9" customFormat="1" x14ac:dyDescent="0.35">
      <c r="A64" s="1"/>
      <c r="B64" s="1"/>
      <c r="C64" s="1"/>
      <c r="D64" s="1"/>
      <c r="E64" s="2"/>
    </row>
    <row r="65" spans="1:5" s="9" customFormat="1" x14ac:dyDescent="0.35">
      <c r="A65" s="1"/>
      <c r="B65" s="1"/>
      <c r="C65" s="1"/>
      <c r="D65" s="1"/>
      <c r="E65" s="2"/>
    </row>
    <row r="66" spans="1:5" s="9" customFormat="1" x14ac:dyDescent="0.35">
      <c r="A66" s="1"/>
      <c r="B66" s="1"/>
      <c r="C66" s="1"/>
      <c r="D66" s="1"/>
      <c r="E66" s="2"/>
    </row>
    <row r="67" spans="1:5" s="9" customFormat="1" x14ac:dyDescent="0.35">
      <c r="A67" s="1"/>
      <c r="B67" s="1"/>
      <c r="C67" s="1"/>
      <c r="D67" s="1"/>
      <c r="E67" s="2"/>
    </row>
    <row r="68" spans="1:5" s="9" customFormat="1" x14ac:dyDescent="0.35">
      <c r="A68" s="1"/>
      <c r="B68" s="1"/>
      <c r="C68" s="1"/>
      <c r="D68" s="1"/>
      <c r="E68" s="2"/>
    </row>
    <row r="69" spans="1:5" s="9" customFormat="1" x14ac:dyDescent="0.35">
      <c r="A69" s="1"/>
      <c r="B69" s="1"/>
      <c r="C69" s="1"/>
      <c r="D69" s="1"/>
      <c r="E69" s="2"/>
    </row>
    <row r="70" spans="1:5" s="9" customFormat="1" x14ac:dyDescent="0.35">
      <c r="A70" s="1"/>
      <c r="B70" s="1"/>
      <c r="C70" s="1"/>
      <c r="D70" s="1"/>
      <c r="E70" s="2"/>
    </row>
    <row r="71" spans="1:5" s="9" customFormat="1" x14ac:dyDescent="0.35">
      <c r="A71" s="1"/>
      <c r="B71" s="1"/>
      <c r="C71" s="1"/>
      <c r="D71" s="1"/>
      <c r="E71" s="2"/>
    </row>
    <row r="72" spans="1:5" s="9" customFormat="1" x14ac:dyDescent="0.35">
      <c r="A72" s="1"/>
      <c r="B72" s="1"/>
      <c r="C72" s="1"/>
      <c r="D72" s="1"/>
      <c r="E72" s="2"/>
    </row>
    <row r="73" spans="1:5" s="9" customFormat="1" x14ac:dyDescent="0.35">
      <c r="A73" s="1"/>
      <c r="B73" s="1"/>
      <c r="C73" s="1"/>
      <c r="D73" s="1"/>
      <c r="E73" s="2"/>
    </row>
    <row r="74" spans="1:5" s="9" customFormat="1" x14ac:dyDescent="0.35">
      <c r="A74" s="1"/>
      <c r="B74" s="1"/>
      <c r="C74" s="1"/>
      <c r="D74" s="1"/>
      <c r="E74" s="2"/>
    </row>
    <row r="75" spans="1:5" s="9" customFormat="1" x14ac:dyDescent="0.35">
      <c r="A75" s="1"/>
      <c r="B75" s="1"/>
      <c r="C75" s="1"/>
      <c r="D75" s="1"/>
      <c r="E75" s="2"/>
    </row>
    <row r="76" spans="1:5" s="9" customFormat="1" x14ac:dyDescent="0.35">
      <c r="A76" s="1"/>
      <c r="B76" s="1"/>
      <c r="C76" s="1"/>
      <c r="D76" s="1"/>
      <c r="E76" s="2"/>
    </row>
    <row r="77" spans="1:5" s="9" customFormat="1" x14ac:dyDescent="0.35">
      <c r="A77" s="1"/>
      <c r="B77" s="1"/>
      <c r="C77" s="1"/>
      <c r="D77" s="1"/>
      <c r="E77" s="2"/>
    </row>
    <row r="78" spans="1:5" s="9" customFormat="1" x14ac:dyDescent="0.35">
      <c r="A78" s="1"/>
      <c r="B78" s="1"/>
      <c r="C78" s="1"/>
      <c r="D78" s="1"/>
      <c r="E78" s="2"/>
    </row>
    <row r="79" spans="1:5" s="9" customFormat="1" x14ac:dyDescent="0.35">
      <c r="A79" s="1"/>
      <c r="B79" s="1"/>
      <c r="C79" s="1"/>
      <c r="D79" s="1"/>
      <c r="E79" s="2"/>
    </row>
    <row r="80" spans="1:5" s="9" customFormat="1" x14ac:dyDescent="0.35">
      <c r="A80" s="1"/>
      <c r="B80" s="1"/>
      <c r="C80" s="1"/>
      <c r="D80" s="1"/>
      <c r="E80" s="2"/>
    </row>
    <row r="81" spans="1:5" s="9" customFormat="1" x14ac:dyDescent="0.35">
      <c r="A81" s="1"/>
      <c r="B81" s="1"/>
      <c r="C81" s="1"/>
      <c r="D81" s="1"/>
      <c r="E81" s="2"/>
    </row>
    <row r="82" spans="1:5" s="9" customFormat="1" x14ac:dyDescent="0.35">
      <c r="A82" s="1"/>
      <c r="B82" s="1"/>
      <c r="C82" s="1"/>
      <c r="D82" s="1"/>
      <c r="E82" s="2"/>
    </row>
    <row r="83" spans="1:5" s="9" customFormat="1" x14ac:dyDescent="0.35">
      <c r="A83" s="1"/>
      <c r="B83" s="1"/>
      <c r="C83" s="1"/>
      <c r="D83" s="1"/>
      <c r="E83" s="2"/>
    </row>
    <row r="84" spans="1:5" s="9" customFormat="1" x14ac:dyDescent="0.35">
      <c r="A84" s="1"/>
      <c r="B84" s="1"/>
      <c r="C84" s="1"/>
      <c r="D84" s="1"/>
      <c r="E84" s="2"/>
    </row>
    <row r="85" spans="1:5" s="9" customFormat="1" x14ac:dyDescent="0.35">
      <c r="A85" s="1"/>
      <c r="B85" s="1"/>
      <c r="C85" s="1"/>
      <c r="D85" s="1"/>
      <c r="E85" s="2"/>
    </row>
    <row r="86" spans="1:5" s="9" customFormat="1" x14ac:dyDescent="0.35">
      <c r="A86" s="1"/>
      <c r="B86" s="1"/>
      <c r="C86" s="1"/>
      <c r="D86" s="1"/>
      <c r="E86" s="2"/>
    </row>
    <row r="87" spans="1:5" s="9" customFormat="1" x14ac:dyDescent="0.35">
      <c r="A87" s="1"/>
      <c r="B87" s="1"/>
      <c r="C87" s="1"/>
      <c r="D87" s="1"/>
      <c r="E87" s="2"/>
    </row>
    <row r="88" spans="1:5" s="9" customFormat="1" x14ac:dyDescent="0.35">
      <c r="A88" s="1"/>
      <c r="B88" s="1"/>
      <c r="C88" s="1"/>
      <c r="D88" s="1"/>
      <c r="E88" s="2"/>
    </row>
    <row r="89" spans="1:5" s="9" customFormat="1" x14ac:dyDescent="0.35">
      <c r="A89" s="1"/>
      <c r="B89" s="1"/>
      <c r="C89" s="1"/>
      <c r="D89" s="1"/>
      <c r="E89" s="2"/>
    </row>
    <row r="90" spans="1:5" s="9" customFormat="1" x14ac:dyDescent="0.35">
      <c r="A90" s="1"/>
      <c r="B90" s="1"/>
      <c r="C90" s="1"/>
      <c r="D90" s="1"/>
      <c r="E90" s="2"/>
    </row>
    <row r="91" spans="1:5" s="9" customFormat="1" x14ac:dyDescent="0.35">
      <c r="A91" s="1"/>
      <c r="B91" s="1"/>
      <c r="C91" s="1"/>
      <c r="D91" s="1"/>
      <c r="E91" s="2"/>
    </row>
    <row r="92" spans="1:5" s="9" customFormat="1" x14ac:dyDescent="0.35">
      <c r="A92" s="1"/>
      <c r="B92" s="1"/>
      <c r="C92" s="1"/>
      <c r="D92" s="1"/>
      <c r="E92" s="2"/>
    </row>
    <row r="93" spans="1:5" s="9" customFormat="1" x14ac:dyDescent="0.35">
      <c r="A93" s="1"/>
      <c r="B93" s="1"/>
      <c r="C93" s="1"/>
      <c r="D93" s="1"/>
      <c r="E93" s="2"/>
    </row>
    <row r="94" spans="1:5" s="9" customFormat="1" x14ac:dyDescent="0.35">
      <c r="A94" s="1"/>
      <c r="B94" s="1"/>
      <c r="C94" s="1"/>
      <c r="D94" s="1"/>
      <c r="E94" s="2"/>
    </row>
    <row r="95" spans="1:5" s="9" customFormat="1" x14ac:dyDescent="0.35">
      <c r="A95" s="1"/>
      <c r="B95" s="1"/>
      <c r="C95" s="1"/>
      <c r="D95" s="1"/>
      <c r="E95" s="2"/>
    </row>
    <row r="96" spans="1:5" s="9" customFormat="1" x14ac:dyDescent="0.35">
      <c r="A96" s="1"/>
      <c r="B96" s="1"/>
      <c r="C96" s="1"/>
      <c r="D96" s="1"/>
      <c r="E96" s="2"/>
    </row>
    <row r="97" spans="1:5" s="9" customFormat="1" x14ac:dyDescent="0.35">
      <c r="A97" s="1"/>
      <c r="B97" s="1"/>
      <c r="C97" s="1"/>
      <c r="D97" s="1"/>
      <c r="E97" s="2"/>
    </row>
    <row r="98" spans="1:5" s="9" customFormat="1" x14ac:dyDescent="0.35">
      <c r="A98" s="1"/>
      <c r="B98" s="1"/>
      <c r="C98" s="1"/>
      <c r="D98" s="1"/>
      <c r="E98" s="2"/>
    </row>
    <row r="99" spans="1:5" s="9" customFormat="1" x14ac:dyDescent="0.35">
      <c r="A99" s="1"/>
      <c r="B99" s="1"/>
      <c r="C99" s="1"/>
      <c r="D99" s="1"/>
      <c r="E99" s="2"/>
    </row>
    <row r="100" spans="1:5" s="9" customFormat="1" x14ac:dyDescent="0.35">
      <c r="A100" s="1"/>
      <c r="B100" s="1"/>
      <c r="C100" s="1"/>
      <c r="D100" s="1"/>
      <c r="E100" s="2"/>
    </row>
    <row r="101" spans="1:5" s="9" customFormat="1" x14ac:dyDescent="0.35">
      <c r="A101" s="1"/>
      <c r="B101" s="1"/>
      <c r="C101" s="1"/>
      <c r="D101" s="1"/>
      <c r="E101" s="2"/>
    </row>
    <row r="102" spans="1:5" s="9" customFormat="1" x14ac:dyDescent="0.35">
      <c r="A102" s="1"/>
      <c r="B102" s="1"/>
      <c r="C102" s="1"/>
      <c r="D102" s="1"/>
      <c r="E102" s="2"/>
    </row>
    <row r="103" spans="1:5" s="9" customFormat="1" x14ac:dyDescent="0.35">
      <c r="A103" s="1"/>
      <c r="B103" s="1"/>
      <c r="C103" s="1"/>
      <c r="D103" s="1"/>
      <c r="E103" s="2"/>
    </row>
    <row r="104" spans="1:5" s="9" customFormat="1" x14ac:dyDescent="0.35">
      <c r="A104" s="1"/>
      <c r="B104" s="1"/>
      <c r="C104" s="1"/>
      <c r="D104" s="1"/>
      <c r="E104" s="2"/>
    </row>
    <row r="105" spans="1:5" s="9" customFormat="1" x14ac:dyDescent="0.35">
      <c r="A105" s="1"/>
      <c r="B105" s="1"/>
      <c r="C105" s="1"/>
      <c r="D105" s="1"/>
      <c r="E105" s="2"/>
    </row>
    <row r="106" spans="1:5" s="9" customFormat="1" x14ac:dyDescent="0.35">
      <c r="A106" s="1"/>
      <c r="B106" s="1"/>
      <c r="C106" s="1"/>
      <c r="D106" s="1"/>
      <c r="E106" s="2"/>
    </row>
    <row r="107" spans="1:5" s="9" customFormat="1" x14ac:dyDescent="0.35">
      <c r="A107" s="1"/>
      <c r="B107" s="1"/>
      <c r="C107" s="1"/>
      <c r="D107" s="1"/>
      <c r="E107" s="2"/>
    </row>
    <row r="108" spans="1:5" s="9" customFormat="1" x14ac:dyDescent="0.35">
      <c r="A108" s="1"/>
      <c r="B108" s="1"/>
      <c r="C108" s="1"/>
      <c r="D108" s="1"/>
      <c r="E108" s="2"/>
    </row>
    <row r="109" spans="1:5" s="9" customFormat="1" x14ac:dyDescent="0.35">
      <c r="A109" s="1"/>
      <c r="B109" s="1"/>
      <c r="C109" s="1"/>
      <c r="D109" s="1"/>
      <c r="E109" s="2"/>
    </row>
    <row r="110" spans="1:5" s="9" customFormat="1" x14ac:dyDescent="0.35">
      <c r="A110" s="1"/>
      <c r="B110" s="1"/>
      <c r="C110" s="1"/>
      <c r="D110" s="1"/>
      <c r="E110" s="2"/>
    </row>
    <row r="111" spans="1:5" s="9" customFormat="1" x14ac:dyDescent="0.35">
      <c r="A111" s="1"/>
      <c r="B111" s="1"/>
      <c r="C111" s="1"/>
      <c r="D111" s="1"/>
      <c r="E111" s="2"/>
    </row>
    <row r="112" spans="1:5" s="9" customFormat="1" x14ac:dyDescent="0.35">
      <c r="A112" s="1"/>
      <c r="B112" s="1"/>
      <c r="C112" s="1"/>
      <c r="D112" s="1"/>
      <c r="E112" s="2"/>
    </row>
    <row r="113" spans="1:5" s="9" customFormat="1" x14ac:dyDescent="0.35">
      <c r="A113" s="1"/>
      <c r="B113" s="1"/>
      <c r="C113" s="1"/>
      <c r="D113" s="1"/>
      <c r="E113" s="2"/>
    </row>
    <row r="114" spans="1:5" s="9" customFormat="1" x14ac:dyDescent="0.35">
      <c r="A114" s="1"/>
      <c r="B114" s="1"/>
      <c r="C114" s="1"/>
      <c r="D114" s="1"/>
      <c r="E114" s="2"/>
    </row>
    <row r="115" spans="1:5" s="9" customFormat="1" x14ac:dyDescent="0.35">
      <c r="A115" s="1"/>
      <c r="B115" s="1"/>
      <c r="C115" s="1"/>
      <c r="D115" s="1"/>
      <c r="E115" s="2"/>
    </row>
    <row r="116" spans="1:5" s="9" customFormat="1" x14ac:dyDescent="0.35">
      <c r="A116" s="1"/>
      <c r="B116" s="1"/>
      <c r="C116" s="1"/>
      <c r="D116" s="1"/>
      <c r="E116" s="2"/>
    </row>
    <row r="117" spans="1:5" s="9" customFormat="1" x14ac:dyDescent="0.35">
      <c r="A117" s="1"/>
      <c r="B117" s="1"/>
      <c r="C117" s="1"/>
      <c r="D117" s="1"/>
      <c r="E117" s="2"/>
    </row>
    <row r="118" spans="1:5" s="9" customFormat="1" x14ac:dyDescent="0.35">
      <c r="A118" s="1"/>
      <c r="B118" s="1"/>
      <c r="C118" s="1"/>
      <c r="D118" s="1"/>
      <c r="E118" s="2"/>
    </row>
    <row r="119" spans="1:5" s="9" customFormat="1" x14ac:dyDescent="0.35">
      <c r="A119" s="1"/>
      <c r="B119" s="1"/>
      <c r="C119" s="1"/>
      <c r="D119" s="1"/>
      <c r="E119" s="2"/>
    </row>
    <row r="120" spans="1:5" s="9" customFormat="1" x14ac:dyDescent="0.35">
      <c r="A120" s="1"/>
      <c r="B120" s="1"/>
      <c r="C120" s="1"/>
      <c r="D120" s="1"/>
      <c r="E120" s="2"/>
    </row>
    <row r="121" spans="1:5" s="9" customFormat="1" x14ac:dyDescent="0.35">
      <c r="A121" s="1"/>
      <c r="B121" s="1"/>
      <c r="C121" s="1"/>
      <c r="D121" s="1"/>
      <c r="E121" s="2"/>
    </row>
    <row r="122" spans="1:5" s="9" customFormat="1" x14ac:dyDescent="0.35">
      <c r="A122" s="1"/>
      <c r="B122" s="1"/>
      <c r="C122" s="1"/>
      <c r="D122" s="1"/>
      <c r="E122" s="2"/>
    </row>
    <row r="123" spans="1:5" s="9" customFormat="1" x14ac:dyDescent="0.35">
      <c r="A123" s="1"/>
      <c r="B123" s="1"/>
      <c r="C123" s="1"/>
      <c r="D123" s="1"/>
      <c r="E123" s="2"/>
    </row>
    <row r="124" spans="1:5" s="9" customFormat="1" x14ac:dyDescent="0.35">
      <c r="A124" s="1"/>
      <c r="B124" s="1"/>
      <c r="C124" s="1"/>
      <c r="D124" s="1"/>
      <c r="E124" s="2"/>
    </row>
    <row r="125" spans="1:5" s="9" customFormat="1" x14ac:dyDescent="0.35">
      <c r="A125" s="1"/>
      <c r="B125" s="1"/>
      <c r="C125" s="1"/>
      <c r="D125" s="1"/>
      <c r="E125" s="2"/>
    </row>
    <row r="126" spans="1:5" s="9" customFormat="1" x14ac:dyDescent="0.35">
      <c r="A126" s="1"/>
      <c r="B126" s="1"/>
      <c r="C126" s="1"/>
      <c r="D126" s="1"/>
      <c r="E126" s="2"/>
    </row>
    <row r="127" spans="1:5" s="9" customFormat="1" x14ac:dyDescent="0.35">
      <c r="A127" s="1"/>
      <c r="B127" s="1"/>
      <c r="C127" s="1"/>
      <c r="D127" s="1"/>
      <c r="E127" s="2"/>
    </row>
    <row r="128" spans="1:5" s="9" customFormat="1" x14ac:dyDescent="0.35">
      <c r="A128" s="1"/>
      <c r="B128" s="1"/>
      <c r="C128" s="1"/>
      <c r="D128" s="1"/>
      <c r="E128" s="2"/>
    </row>
    <row r="129" spans="1:5" s="9" customFormat="1" x14ac:dyDescent="0.35">
      <c r="A129" s="1"/>
      <c r="B129" s="1"/>
      <c r="C129" s="1"/>
      <c r="D129" s="1"/>
      <c r="E129" s="2"/>
    </row>
    <row r="130" spans="1:5" s="9" customFormat="1" x14ac:dyDescent="0.35">
      <c r="A130" s="1"/>
      <c r="B130" s="1"/>
      <c r="C130" s="1"/>
      <c r="D130" s="1"/>
      <c r="E130" s="2"/>
    </row>
    <row r="131" spans="1:5" s="9" customFormat="1" x14ac:dyDescent="0.35">
      <c r="A131" s="1"/>
      <c r="B131" s="1"/>
      <c r="C131" s="1"/>
      <c r="D131" s="1"/>
      <c r="E131" s="2"/>
    </row>
    <row r="132" spans="1:5" s="9" customFormat="1" x14ac:dyDescent="0.35">
      <c r="A132" s="1"/>
      <c r="B132" s="1"/>
      <c r="C132" s="1"/>
      <c r="D132" s="1"/>
      <c r="E132" s="2"/>
    </row>
    <row r="133" spans="1:5" s="9" customFormat="1" x14ac:dyDescent="0.35">
      <c r="A133" s="1"/>
      <c r="B133" s="1"/>
      <c r="C133" s="1"/>
      <c r="D133" s="1"/>
      <c r="E133" s="2"/>
    </row>
    <row r="134" spans="1:5" s="9" customFormat="1" x14ac:dyDescent="0.35">
      <c r="A134" s="1"/>
      <c r="B134" s="1"/>
      <c r="C134" s="1"/>
      <c r="D134" s="1"/>
      <c r="E134" s="2"/>
    </row>
    <row r="135" spans="1:5" s="9" customFormat="1" x14ac:dyDescent="0.35">
      <c r="A135" s="1"/>
      <c r="B135" s="1"/>
      <c r="C135" s="1"/>
      <c r="D135" s="1"/>
      <c r="E135" s="2"/>
    </row>
    <row r="136" spans="1:5" s="9" customFormat="1" x14ac:dyDescent="0.35">
      <c r="A136" s="1"/>
      <c r="B136" s="1"/>
      <c r="C136" s="1"/>
      <c r="D136" s="1"/>
      <c r="E136" s="2"/>
    </row>
    <row r="137" spans="1:5" s="9" customFormat="1" x14ac:dyDescent="0.35">
      <c r="A137" s="1"/>
      <c r="B137" s="1"/>
      <c r="C137" s="1"/>
      <c r="D137" s="1"/>
      <c r="E137" s="2"/>
    </row>
    <row r="138" spans="1:5" s="9" customFormat="1" x14ac:dyDescent="0.35">
      <c r="A138" s="1"/>
      <c r="B138" s="1"/>
      <c r="C138" s="1"/>
      <c r="D138" s="1"/>
      <c r="E138" s="2"/>
    </row>
    <row r="139" spans="1:5" s="9" customFormat="1" x14ac:dyDescent="0.35">
      <c r="A139" s="1"/>
      <c r="B139" s="1"/>
      <c r="C139" s="1"/>
      <c r="D139" s="1"/>
      <c r="E139" s="2"/>
    </row>
    <row r="140" spans="1:5" s="9" customFormat="1" x14ac:dyDescent="0.35">
      <c r="A140" s="1"/>
      <c r="B140" s="1"/>
      <c r="C140" s="1"/>
      <c r="D140" s="1"/>
      <c r="E140" s="2"/>
    </row>
    <row r="141" spans="1:5" s="9" customFormat="1" x14ac:dyDescent="0.35">
      <c r="A141" s="1"/>
      <c r="B141" s="1"/>
      <c r="C141" s="1"/>
      <c r="D141" s="1"/>
      <c r="E141" s="2"/>
    </row>
    <row r="142" spans="1:5" s="9" customFormat="1" x14ac:dyDescent="0.35">
      <c r="A142" s="1"/>
      <c r="B142" s="1"/>
      <c r="C142" s="1"/>
      <c r="D142" s="1"/>
      <c r="E142" s="2"/>
    </row>
    <row r="143" spans="1:5" s="9" customFormat="1" x14ac:dyDescent="0.35">
      <c r="A143" s="1"/>
      <c r="B143" s="1"/>
      <c r="C143" s="1"/>
      <c r="D143" s="1"/>
      <c r="E143" s="2"/>
    </row>
    <row r="144" spans="1:5" s="9" customFormat="1" x14ac:dyDescent="0.35">
      <c r="A144" s="1"/>
      <c r="B144" s="1"/>
      <c r="C144" s="1"/>
      <c r="D144" s="1"/>
      <c r="E144" s="2"/>
    </row>
    <row r="145" spans="1:5" s="9" customFormat="1" x14ac:dyDescent="0.35">
      <c r="A145" s="1"/>
      <c r="B145" s="1"/>
      <c r="C145" s="1"/>
      <c r="D145" s="1"/>
      <c r="E145" s="2"/>
    </row>
    <row r="146" spans="1:5" s="9" customFormat="1" x14ac:dyDescent="0.35">
      <c r="A146" s="1"/>
      <c r="B146" s="1"/>
      <c r="C146" s="1"/>
      <c r="D146" s="1"/>
      <c r="E146" s="2"/>
    </row>
    <row r="147" spans="1:5" s="9" customFormat="1" x14ac:dyDescent="0.35">
      <c r="A147" s="1"/>
      <c r="B147" s="1"/>
      <c r="C147" s="1"/>
      <c r="D147" s="1"/>
      <c r="E147" s="2"/>
    </row>
    <row r="148" spans="1:5" s="9" customFormat="1" x14ac:dyDescent="0.35">
      <c r="A148" s="1"/>
      <c r="B148" s="1"/>
      <c r="C148" s="1"/>
      <c r="D148" s="1"/>
      <c r="E148" s="2"/>
    </row>
    <row r="149" spans="1:5" s="9" customFormat="1" x14ac:dyDescent="0.35">
      <c r="A149" s="1"/>
      <c r="B149" s="1"/>
      <c r="C149" s="1"/>
      <c r="D149" s="1"/>
      <c r="E149" s="2"/>
    </row>
    <row r="150" spans="1:5" s="9" customFormat="1" x14ac:dyDescent="0.35">
      <c r="A150" s="1"/>
      <c r="B150" s="1"/>
      <c r="C150" s="1"/>
      <c r="D150" s="1"/>
      <c r="E150" s="2"/>
    </row>
    <row r="151" spans="1:5" s="9" customFormat="1" x14ac:dyDescent="0.35">
      <c r="A151" s="1"/>
      <c r="B151" s="1"/>
      <c r="C151" s="1"/>
      <c r="D151" s="1"/>
      <c r="E151" s="2"/>
    </row>
    <row r="152" spans="1:5" s="9" customFormat="1" x14ac:dyDescent="0.35">
      <c r="A152" s="1"/>
      <c r="B152" s="1"/>
      <c r="C152" s="1"/>
      <c r="D152" s="1"/>
      <c r="E152" s="2"/>
    </row>
    <row r="153" spans="1:5" s="9" customFormat="1" x14ac:dyDescent="0.35">
      <c r="A153" s="1"/>
      <c r="B153" s="1"/>
      <c r="C153" s="1"/>
      <c r="D153" s="1"/>
      <c r="E153" s="2"/>
    </row>
    <row r="154" spans="1:5" s="9" customFormat="1" x14ac:dyDescent="0.35">
      <c r="A154" s="1"/>
      <c r="B154" s="1"/>
      <c r="C154" s="1"/>
      <c r="D154" s="1"/>
      <c r="E154" s="2"/>
    </row>
    <row r="155" spans="1:5" s="9" customFormat="1" x14ac:dyDescent="0.35">
      <c r="A155" s="1"/>
      <c r="B155" s="1"/>
      <c r="C155" s="1"/>
      <c r="D155" s="1"/>
      <c r="E155" s="2"/>
    </row>
    <row r="156" spans="1:5" s="9" customFormat="1" x14ac:dyDescent="0.35">
      <c r="A156" s="1"/>
      <c r="B156" s="1"/>
      <c r="C156" s="1"/>
      <c r="D156" s="1"/>
      <c r="E156" s="2"/>
    </row>
    <row r="157" spans="1:5" s="9" customFormat="1" x14ac:dyDescent="0.35">
      <c r="A157" s="1"/>
      <c r="B157" s="1"/>
      <c r="C157" s="1"/>
      <c r="D157" s="1"/>
      <c r="E157" s="2"/>
    </row>
    <row r="158" spans="1:5" s="9" customFormat="1" x14ac:dyDescent="0.35">
      <c r="A158" s="1"/>
      <c r="B158" s="1"/>
      <c r="C158" s="1"/>
      <c r="D158" s="1"/>
      <c r="E158" s="2"/>
    </row>
    <row r="159" spans="1:5" s="9" customFormat="1" x14ac:dyDescent="0.35">
      <c r="A159" s="1"/>
      <c r="B159" s="1"/>
      <c r="C159" s="1"/>
      <c r="D159" s="1"/>
      <c r="E159" s="2"/>
    </row>
    <row r="160" spans="1:5" s="9" customFormat="1" x14ac:dyDescent="0.35">
      <c r="A160" s="1"/>
      <c r="B160" s="1"/>
      <c r="C160" s="1"/>
      <c r="D160" s="1"/>
      <c r="E160" s="2"/>
    </row>
    <row r="161" spans="1:5" s="9" customFormat="1" x14ac:dyDescent="0.35">
      <c r="A161" s="1"/>
      <c r="B161" s="1"/>
      <c r="C161" s="1"/>
      <c r="D161" s="1"/>
      <c r="E161" s="2"/>
    </row>
    <row r="162" spans="1:5" s="9" customFormat="1" x14ac:dyDescent="0.35">
      <c r="A162" s="1"/>
      <c r="B162" s="1"/>
      <c r="C162" s="1"/>
      <c r="D162" s="1"/>
      <c r="E162" s="2"/>
    </row>
    <row r="163" spans="1:5" s="9" customFormat="1" x14ac:dyDescent="0.35">
      <c r="A163" s="1"/>
      <c r="B163" s="1"/>
      <c r="C163" s="1"/>
      <c r="D163" s="1"/>
      <c r="E163" s="2"/>
    </row>
    <row r="164" spans="1:5" s="9" customFormat="1" x14ac:dyDescent="0.35">
      <c r="A164" s="1"/>
      <c r="B164" s="1"/>
      <c r="C164" s="1"/>
      <c r="D164" s="1"/>
      <c r="E164" s="2"/>
    </row>
    <row r="165" spans="1:5" s="9" customFormat="1" x14ac:dyDescent="0.35">
      <c r="A165" s="1"/>
      <c r="B165" s="1"/>
      <c r="C165" s="1"/>
      <c r="D165" s="1"/>
      <c r="E165" s="2"/>
    </row>
    <row r="166" spans="1:5" s="9" customFormat="1" x14ac:dyDescent="0.35">
      <c r="A166" s="1"/>
      <c r="B166" s="1"/>
      <c r="C166" s="1"/>
      <c r="D166" s="1"/>
      <c r="E166" s="2"/>
    </row>
    <row r="167" spans="1:5" s="9" customFormat="1" x14ac:dyDescent="0.35">
      <c r="A167" s="1"/>
      <c r="B167" s="1"/>
      <c r="C167" s="1"/>
      <c r="D167" s="1"/>
      <c r="E167" s="2"/>
    </row>
    <row r="168" spans="1:5" s="9" customFormat="1" x14ac:dyDescent="0.35">
      <c r="A168" s="1"/>
      <c r="B168" s="1"/>
      <c r="C168" s="1"/>
      <c r="D168" s="1"/>
      <c r="E168" s="2"/>
    </row>
    <row r="169" spans="1:5" s="9" customFormat="1" x14ac:dyDescent="0.35">
      <c r="A169" s="1"/>
      <c r="B169" s="1"/>
      <c r="C169" s="1"/>
      <c r="D169" s="1"/>
      <c r="E169" s="2"/>
    </row>
    <row r="170" spans="1:5" s="9" customFormat="1" x14ac:dyDescent="0.35">
      <c r="A170" s="1"/>
      <c r="B170" s="1"/>
      <c r="C170" s="1"/>
      <c r="D170" s="1"/>
      <c r="E170" s="2"/>
    </row>
    <row r="171" spans="1:5" s="9" customFormat="1" x14ac:dyDescent="0.35">
      <c r="A171" s="1"/>
      <c r="B171" s="1"/>
      <c r="C171" s="1"/>
      <c r="D171" s="1"/>
      <c r="E171" s="2"/>
    </row>
    <row r="172" spans="1:5" s="9" customFormat="1" x14ac:dyDescent="0.35">
      <c r="A172" s="1"/>
      <c r="B172" s="1"/>
      <c r="C172" s="1"/>
      <c r="D172" s="1"/>
      <c r="E172" s="2"/>
    </row>
    <row r="173" spans="1:5" s="9" customFormat="1" x14ac:dyDescent="0.35">
      <c r="A173" s="1"/>
      <c r="B173" s="1"/>
      <c r="C173" s="1"/>
      <c r="D173" s="1"/>
      <c r="E173" s="2"/>
    </row>
    <row r="174" spans="1:5" s="9" customFormat="1" x14ac:dyDescent="0.35">
      <c r="A174" s="1"/>
      <c r="B174" s="1"/>
      <c r="C174" s="1"/>
      <c r="D174" s="1"/>
      <c r="E174" s="2"/>
    </row>
    <row r="175" spans="1:5" s="9" customFormat="1" x14ac:dyDescent="0.35">
      <c r="A175" s="1"/>
      <c r="B175" s="1"/>
      <c r="C175" s="1"/>
      <c r="D175" s="1"/>
      <c r="E175" s="2"/>
    </row>
    <row r="176" spans="1:5" s="9" customFormat="1" x14ac:dyDescent="0.35">
      <c r="A176" s="1"/>
      <c r="B176" s="1"/>
      <c r="C176" s="1"/>
      <c r="D176" s="1"/>
      <c r="E176" s="2"/>
    </row>
    <row r="177" spans="1:5" s="9" customFormat="1" x14ac:dyDescent="0.35">
      <c r="A177" s="1"/>
      <c r="B177" s="1"/>
      <c r="C177" s="1"/>
      <c r="D177" s="1"/>
      <c r="E177" s="2"/>
    </row>
    <row r="178" spans="1:5" s="9" customFormat="1" x14ac:dyDescent="0.35">
      <c r="A178" s="1"/>
      <c r="B178" s="1"/>
      <c r="C178" s="1"/>
      <c r="D178" s="1"/>
      <c r="E178" s="2"/>
    </row>
    <row r="179" spans="1:5" s="9" customFormat="1" x14ac:dyDescent="0.35">
      <c r="A179" s="1"/>
      <c r="B179" s="1"/>
      <c r="C179" s="1"/>
      <c r="D179" s="1"/>
      <c r="E179" s="2"/>
    </row>
    <row r="180" spans="1:5" s="9" customFormat="1" x14ac:dyDescent="0.35">
      <c r="A180" s="1"/>
      <c r="B180" s="1"/>
      <c r="C180" s="1"/>
      <c r="D180" s="1"/>
      <c r="E180" s="2"/>
    </row>
    <row r="181" spans="1:5" s="9" customFormat="1" x14ac:dyDescent="0.35">
      <c r="A181" s="1"/>
      <c r="B181" s="1"/>
      <c r="C181" s="1"/>
      <c r="D181" s="1"/>
      <c r="E181" s="2"/>
    </row>
    <row r="182" spans="1:5" s="9" customFormat="1" x14ac:dyDescent="0.35">
      <c r="A182" s="1"/>
      <c r="B182" s="1"/>
      <c r="C182" s="1"/>
      <c r="D182" s="1"/>
      <c r="E182" s="2"/>
    </row>
    <row r="183" spans="1:5" s="9" customFormat="1" x14ac:dyDescent="0.35">
      <c r="A183" s="1"/>
      <c r="B183" s="1"/>
      <c r="C183" s="1"/>
      <c r="D183" s="1"/>
      <c r="E183" s="2"/>
    </row>
    <row r="184" spans="1:5" s="9" customFormat="1" x14ac:dyDescent="0.35">
      <c r="A184" s="1"/>
      <c r="B184" s="1"/>
      <c r="C184" s="1"/>
      <c r="D184" s="1"/>
      <c r="E184" s="2"/>
    </row>
    <row r="185" spans="1:5" s="9" customFormat="1" x14ac:dyDescent="0.35">
      <c r="A185" s="1"/>
      <c r="B185" s="1"/>
      <c r="C185" s="1"/>
      <c r="D185" s="1"/>
      <c r="E185" s="2"/>
    </row>
    <row r="186" spans="1:5" s="9" customFormat="1" x14ac:dyDescent="0.35">
      <c r="A186" s="1"/>
      <c r="B186" s="1"/>
      <c r="C186" s="1"/>
      <c r="D186" s="1"/>
      <c r="E186" s="2"/>
    </row>
    <row r="187" spans="1:5" s="9" customFormat="1" x14ac:dyDescent="0.35">
      <c r="A187" s="1"/>
      <c r="B187" s="1"/>
      <c r="C187" s="1"/>
      <c r="D187" s="1"/>
      <c r="E187" s="2"/>
    </row>
    <row r="188" spans="1:5" s="9" customFormat="1" x14ac:dyDescent="0.35">
      <c r="A188" s="1"/>
      <c r="B188" s="1"/>
      <c r="C188" s="1"/>
      <c r="D188" s="1"/>
      <c r="E188" s="2"/>
    </row>
    <row r="189" spans="1:5" s="9" customFormat="1" x14ac:dyDescent="0.35">
      <c r="A189" s="1"/>
      <c r="B189" s="1"/>
      <c r="C189" s="1"/>
      <c r="D189" s="1"/>
      <c r="E189" s="2"/>
    </row>
    <row r="190" spans="1:5" s="9" customFormat="1" x14ac:dyDescent="0.35">
      <c r="A190" s="1"/>
      <c r="B190" s="1"/>
      <c r="C190" s="1"/>
      <c r="D190" s="1"/>
      <c r="E190" s="2"/>
    </row>
    <row r="191" spans="1:5" s="9" customFormat="1" x14ac:dyDescent="0.35">
      <c r="A191" s="1"/>
      <c r="B191" s="1"/>
      <c r="C191" s="1"/>
      <c r="D191" s="1"/>
      <c r="E191" s="2"/>
    </row>
    <row r="192" spans="1:5" s="9" customFormat="1" x14ac:dyDescent="0.35">
      <c r="A192" s="1"/>
      <c r="B192" s="1"/>
      <c r="C192" s="1"/>
      <c r="D192" s="1"/>
      <c r="E192" s="2"/>
    </row>
    <row r="193" spans="1:5" s="9" customFormat="1" x14ac:dyDescent="0.35">
      <c r="A193" s="1"/>
      <c r="B193" s="1"/>
      <c r="C193" s="1"/>
      <c r="D193" s="1"/>
      <c r="E193" s="2"/>
    </row>
    <row r="194" spans="1:5" s="9" customFormat="1" x14ac:dyDescent="0.35">
      <c r="A194" s="1"/>
      <c r="B194" s="1"/>
      <c r="C194" s="1"/>
      <c r="D194" s="1"/>
      <c r="E194" s="2"/>
    </row>
    <row r="195" spans="1:5" s="9" customFormat="1" x14ac:dyDescent="0.35">
      <c r="A195" s="1"/>
      <c r="B195" s="1"/>
      <c r="C195" s="1"/>
      <c r="D195" s="1"/>
      <c r="E195" s="2"/>
    </row>
    <row r="196" spans="1:5" s="9" customFormat="1" x14ac:dyDescent="0.35">
      <c r="A196" s="1"/>
      <c r="B196" s="1"/>
      <c r="C196" s="1"/>
      <c r="D196" s="1"/>
      <c r="E196" s="2"/>
    </row>
    <row r="197" spans="1:5" s="9" customFormat="1" x14ac:dyDescent="0.35">
      <c r="A197" s="1"/>
      <c r="B197" s="1"/>
      <c r="C197" s="1"/>
      <c r="D197" s="1"/>
      <c r="E197" s="2"/>
    </row>
    <row r="198" spans="1:5" s="9" customFormat="1" x14ac:dyDescent="0.35">
      <c r="A198" s="1"/>
      <c r="B198" s="1"/>
      <c r="C198" s="1"/>
      <c r="D198" s="1"/>
      <c r="E198" s="2"/>
    </row>
    <row r="199" spans="1:5" s="9" customFormat="1" x14ac:dyDescent="0.35">
      <c r="A199" s="1"/>
      <c r="B199" s="1"/>
      <c r="C199" s="1"/>
      <c r="D199" s="1"/>
      <c r="E199" s="2"/>
    </row>
    <row r="200" spans="1:5" s="9" customFormat="1" x14ac:dyDescent="0.35">
      <c r="A200" s="1"/>
      <c r="B200" s="1"/>
      <c r="C200" s="1"/>
      <c r="D200" s="1"/>
      <c r="E200" s="2"/>
    </row>
    <row r="201" spans="1:5" s="9" customFormat="1" x14ac:dyDescent="0.35">
      <c r="A201" s="1"/>
      <c r="B201" s="1"/>
      <c r="C201" s="1"/>
      <c r="D201" s="1"/>
      <c r="E201" s="2"/>
    </row>
    <row r="202" spans="1:5" s="9" customFormat="1" x14ac:dyDescent="0.35">
      <c r="A202" s="1"/>
      <c r="B202" s="1"/>
      <c r="C202" s="1"/>
      <c r="D202" s="1"/>
      <c r="E202" s="2"/>
    </row>
    <row r="203" spans="1:5" s="9" customFormat="1" x14ac:dyDescent="0.35">
      <c r="A203" s="1"/>
      <c r="B203" s="1"/>
      <c r="C203" s="1"/>
      <c r="D203" s="1"/>
      <c r="E203" s="2"/>
    </row>
    <row r="204" spans="1:5" s="9" customFormat="1" x14ac:dyDescent="0.35">
      <c r="A204" s="1"/>
      <c r="B204" s="1"/>
      <c r="C204" s="1"/>
      <c r="D204" s="1"/>
      <c r="E204" s="2"/>
    </row>
    <row r="205" spans="1:5" s="9" customFormat="1" x14ac:dyDescent="0.35">
      <c r="A205" s="1"/>
      <c r="B205" s="1"/>
      <c r="C205" s="1"/>
      <c r="D205" s="1"/>
      <c r="E205" s="2"/>
    </row>
    <row r="206" spans="1:5" s="9" customFormat="1" x14ac:dyDescent="0.35">
      <c r="A206" s="1"/>
      <c r="B206" s="1"/>
      <c r="C206" s="1"/>
      <c r="D206" s="1"/>
      <c r="E206" s="2"/>
    </row>
    <row r="207" spans="1:5" s="9" customFormat="1" x14ac:dyDescent="0.35">
      <c r="A207" s="1"/>
      <c r="B207" s="1"/>
      <c r="C207" s="1"/>
      <c r="D207" s="1"/>
      <c r="E207" s="2"/>
    </row>
    <row r="208" spans="1:5" s="9" customFormat="1" x14ac:dyDescent="0.35">
      <c r="A208" s="1"/>
      <c r="B208" s="1"/>
      <c r="C208" s="1"/>
      <c r="D208" s="1"/>
      <c r="E208" s="2"/>
    </row>
    <row r="209" spans="1:5" s="9" customFormat="1" x14ac:dyDescent="0.35">
      <c r="A209" s="1"/>
      <c r="B209" s="1"/>
      <c r="C209" s="1"/>
      <c r="D209" s="1"/>
      <c r="E209" s="2"/>
    </row>
    <row r="210" spans="1:5" s="9" customFormat="1" x14ac:dyDescent="0.35">
      <c r="A210" s="1"/>
      <c r="B210" s="1"/>
      <c r="C210" s="1"/>
      <c r="D210" s="1"/>
      <c r="E210" s="2"/>
    </row>
    <row r="211" spans="1:5" s="9" customFormat="1" x14ac:dyDescent="0.35">
      <c r="A211" s="1"/>
      <c r="B211" s="1"/>
      <c r="C211" s="1"/>
      <c r="D211" s="1"/>
      <c r="E211" s="2"/>
    </row>
    <row r="212" spans="1:5" s="9" customFormat="1" x14ac:dyDescent="0.35">
      <c r="A212" s="1"/>
      <c r="B212" s="1"/>
      <c r="C212" s="1"/>
      <c r="D212" s="1"/>
      <c r="E212" s="2"/>
    </row>
    <row r="213" spans="1:5" s="9" customFormat="1" x14ac:dyDescent="0.35">
      <c r="A213" s="1"/>
      <c r="B213" s="1"/>
      <c r="C213" s="1"/>
      <c r="D213" s="1"/>
      <c r="E213" s="2"/>
    </row>
    <row r="214" spans="1:5" s="9" customFormat="1" x14ac:dyDescent="0.35">
      <c r="A214" s="1"/>
      <c r="B214" s="1"/>
      <c r="C214" s="1"/>
      <c r="D214" s="1"/>
      <c r="E214" s="2"/>
    </row>
    <row r="215" spans="1:5" s="9" customFormat="1" x14ac:dyDescent="0.35">
      <c r="A215" s="1"/>
      <c r="B215" s="1"/>
      <c r="C215" s="1"/>
      <c r="D215" s="1"/>
      <c r="E215" s="2"/>
    </row>
    <row r="216" spans="1:5" s="9" customFormat="1" x14ac:dyDescent="0.35">
      <c r="A216" s="1"/>
      <c r="B216" s="1"/>
      <c r="C216" s="1"/>
      <c r="D216" s="1"/>
      <c r="E216" s="2"/>
    </row>
    <row r="217" spans="1:5" s="9" customFormat="1" x14ac:dyDescent="0.35">
      <c r="A217" s="1"/>
      <c r="B217" s="1"/>
      <c r="C217" s="1"/>
      <c r="D217" s="1"/>
      <c r="E217" s="2"/>
    </row>
    <row r="218" spans="1:5" s="9" customFormat="1" x14ac:dyDescent="0.35">
      <c r="A218" s="1"/>
      <c r="B218" s="1"/>
      <c r="C218" s="1"/>
      <c r="D218" s="1"/>
      <c r="E218" s="2"/>
    </row>
  </sheetData>
  <mergeCells count="5">
    <mergeCell ref="E1:F1"/>
    <mergeCell ref="A36:H37"/>
    <mergeCell ref="A38:H38"/>
    <mergeCell ref="A39:H41"/>
    <mergeCell ref="A42:H42"/>
  </mergeCells>
  <conditionalFormatting sqref="F4 C4:D4">
    <cfRule type="cellIs" dxfId="9" priority="1" operator="notEqual">
      <formula>0</formula>
    </cfRule>
  </conditionalFormatting>
  <pageMargins left="0.2" right="0.2" top="0.25" bottom="0.25" header="0.05" footer="0.05"/>
  <pageSetup paperSize="5" scale="85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00FF"/>
    <pageSetUpPr fitToPage="1"/>
  </sheetPr>
  <dimension ref="A1:DF125"/>
  <sheetViews>
    <sheetView topLeftCell="A181" zoomScaleNormal="100" workbookViewId="0">
      <selection activeCell="U201" sqref="U201"/>
    </sheetView>
  </sheetViews>
  <sheetFormatPr defaultRowHeight="14.5" x14ac:dyDescent="0.35"/>
  <cols>
    <col min="1" max="1" width="5.90625" customWidth="1"/>
    <col min="2" max="2" width="8.08984375" customWidth="1"/>
    <col min="3" max="3" width="8.36328125" customWidth="1"/>
    <col min="4" max="4" width="7.6328125" customWidth="1"/>
    <col min="5" max="5" width="9" customWidth="1"/>
    <col min="6" max="6" width="9.6328125" customWidth="1"/>
    <col min="7" max="7" width="9.36328125" customWidth="1"/>
    <col min="8" max="8" width="9.6328125" customWidth="1"/>
    <col min="9" max="9" width="10.453125" customWidth="1"/>
    <col min="10" max="10" width="9.6328125" customWidth="1"/>
    <col min="11" max="12" width="9.08984375" customWidth="1"/>
    <col min="13" max="13" width="10" customWidth="1"/>
    <col min="14" max="14" width="9" customWidth="1"/>
    <col min="15" max="15" width="8.6328125" customWidth="1"/>
    <col min="16" max="16" width="9" customWidth="1"/>
    <col min="22" max="22" width="41.1796875" customWidth="1"/>
    <col min="23" max="23" width="9.1796875" customWidth="1"/>
    <col min="87" max="88" width="10.54296875" bestFit="1" customWidth="1"/>
    <col min="89" max="95" width="9.54296875" bestFit="1" customWidth="1"/>
    <col min="96" max="96" width="10.54296875" customWidth="1"/>
    <col min="97" max="97" width="10.81640625" customWidth="1"/>
    <col min="98" max="98" width="10.36328125" customWidth="1"/>
    <col min="99" max="99" width="9.54296875" bestFit="1" customWidth="1"/>
    <col min="101" max="101" width="9.54296875" bestFit="1" customWidth="1"/>
    <col min="103" max="103" width="9.54296875" bestFit="1" customWidth="1"/>
    <col min="105" max="105" width="9.54296875" bestFit="1" customWidth="1"/>
    <col min="107" max="107" width="9.54296875" bestFit="1" customWidth="1"/>
    <col min="109" max="109" width="9.54296875" bestFit="1" customWidth="1"/>
  </cols>
  <sheetData>
    <row r="1" spans="1:25" ht="15" thickBot="1" x14ac:dyDescent="0.4">
      <c r="B1" s="504" t="s">
        <v>71</v>
      </c>
      <c r="C1" s="505"/>
      <c r="D1" s="506"/>
      <c r="E1" s="515" t="s">
        <v>221</v>
      </c>
      <c r="F1" s="516"/>
      <c r="G1" s="516"/>
      <c r="H1" s="516"/>
      <c r="I1" s="516"/>
      <c r="J1" s="516"/>
      <c r="K1" s="516"/>
      <c r="L1" s="121"/>
      <c r="M1" s="510" t="s">
        <v>220</v>
      </c>
      <c r="N1" s="511"/>
      <c r="O1" s="511"/>
      <c r="P1" s="511"/>
      <c r="Q1" s="511"/>
      <c r="R1" s="511"/>
      <c r="S1" s="511"/>
      <c r="T1" s="511"/>
      <c r="U1" s="511"/>
      <c r="V1" s="511"/>
      <c r="W1" s="511"/>
      <c r="X1" s="512"/>
    </row>
    <row r="2" spans="1:25" ht="15" thickBot="1" x14ac:dyDescent="0.4">
      <c r="B2" s="504"/>
      <c r="C2" s="505"/>
      <c r="D2" s="506"/>
      <c r="E2" s="517" t="s">
        <v>121</v>
      </c>
      <c r="F2" s="518"/>
      <c r="G2" s="519"/>
      <c r="H2" s="517" t="s">
        <v>126</v>
      </c>
      <c r="I2" s="518"/>
      <c r="J2" s="519"/>
      <c r="K2" s="520" t="s">
        <v>199</v>
      </c>
      <c r="L2" s="136"/>
      <c r="M2" s="513" t="s">
        <v>129</v>
      </c>
      <c r="N2" s="514"/>
      <c r="O2" s="514"/>
      <c r="P2" s="514"/>
      <c r="Q2" s="507" t="s">
        <v>152</v>
      </c>
      <c r="R2" s="508"/>
      <c r="S2" s="508"/>
      <c r="T2" s="508"/>
      <c r="U2" s="508"/>
      <c r="V2" s="508"/>
      <c r="W2" s="508"/>
      <c r="X2" s="509"/>
    </row>
    <row r="3" spans="1:25" ht="43.5" customHeight="1" thickBot="1" x14ac:dyDescent="0.4">
      <c r="B3" s="288" t="s">
        <v>144</v>
      </c>
      <c r="C3" s="289" t="s">
        <v>72</v>
      </c>
      <c r="D3" s="290" t="s">
        <v>232</v>
      </c>
      <c r="E3" s="134" t="s">
        <v>65</v>
      </c>
      <c r="F3" s="134" t="s">
        <v>123</v>
      </c>
      <c r="G3" s="135" t="s">
        <v>125</v>
      </c>
      <c r="H3" s="133" t="s">
        <v>130</v>
      </c>
      <c r="I3" s="137" t="s">
        <v>131</v>
      </c>
      <c r="J3" s="135" t="s">
        <v>132</v>
      </c>
      <c r="K3" s="521"/>
      <c r="L3" s="136"/>
      <c r="M3" s="429" t="s">
        <v>281</v>
      </c>
      <c r="N3" s="430" t="s">
        <v>79</v>
      </c>
      <c r="O3" s="430" t="s">
        <v>128</v>
      </c>
      <c r="P3" s="290" t="s">
        <v>82</v>
      </c>
      <c r="Q3" s="425" t="s">
        <v>266</v>
      </c>
      <c r="R3" s="277" t="s">
        <v>209</v>
      </c>
      <c r="S3" s="277" t="s">
        <v>213</v>
      </c>
      <c r="T3" s="277" t="s">
        <v>215</v>
      </c>
      <c r="U3" s="277" t="s">
        <v>82</v>
      </c>
      <c r="V3" s="277" t="s">
        <v>219</v>
      </c>
      <c r="W3" s="278" t="s">
        <v>218</v>
      </c>
    </row>
    <row r="4" spans="1:25" x14ac:dyDescent="0.35">
      <c r="A4" s="128" t="s">
        <v>122</v>
      </c>
      <c r="B4" s="129">
        <v>250</v>
      </c>
      <c r="C4" s="130">
        <v>200</v>
      </c>
      <c r="D4" s="125"/>
      <c r="E4" s="129">
        <v>4828</v>
      </c>
      <c r="F4" s="360"/>
      <c r="G4" s="361">
        <f>+E4+F4</f>
        <v>4828</v>
      </c>
      <c r="H4" s="129">
        <f>-K4+E4+F4-I4</f>
        <v>579</v>
      </c>
      <c r="I4" s="340">
        <f t="shared" ref="I4:I31" si="0">+W4</f>
        <v>0</v>
      </c>
      <c r="J4" s="130">
        <f>+H4+I4</f>
        <v>579</v>
      </c>
      <c r="K4" s="423">
        <v>4249</v>
      </c>
      <c r="L4" s="421"/>
      <c r="M4" s="426">
        <v>384</v>
      </c>
      <c r="N4" s="427">
        <v>27</v>
      </c>
      <c r="O4" s="427">
        <v>0</v>
      </c>
      <c r="P4" s="428">
        <f>+H4-M4-N4-O4</f>
        <v>168</v>
      </c>
      <c r="Q4" s="360"/>
      <c r="R4" s="279"/>
      <c r="S4" s="279"/>
      <c r="T4" s="279"/>
      <c r="U4" s="279"/>
      <c r="V4" s="279"/>
      <c r="W4" s="130">
        <f t="shared" ref="W4:W32" si="1">SUM(Q4:U4)</f>
        <v>0</v>
      </c>
      <c r="Y4" s="125"/>
    </row>
    <row r="5" spans="1:25" x14ac:dyDescent="0.35">
      <c r="A5" s="122">
        <v>1996</v>
      </c>
      <c r="B5" s="123">
        <v>250</v>
      </c>
      <c r="C5" s="124">
        <v>200</v>
      </c>
      <c r="D5" s="125"/>
      <c r="E5" s="123">
        <v>10428</v>
      </c>
      <c r="F5" s="127"/>
      <c r="G5" s="158">
        <f t="shared" ref="G5:G28" si="2">+E5+F5</f>
        <v>10428</v>
      </c>
      <c r="H5" s="123">
        <f t="shared" ref="H5:H10" si="3">-K5+K4+E5+F5-I5</f>
        <v>7732.0299999999988</v>
      </c>
      <c r="I5" s="341">
        <f t="shared" si="0"/>
        <v>963</v>
      </c>
      <c r="J5" s="131">
        <f>+H5+I5</f>
        <v>8695.0299999999988</v>
      </c>
      <c r="K5" s="424">
        <f>880.97+5101</f>
        <v>5981.97</v>
      </c>
      <c r="L5" s="422"/>
      <c r="M5" s="123">
        <v>5051</v>
      </c>
      <c r="N5" s="126">
        <v>659</v>
      </c>
      <c r="O5" s="126">
        <v>1580</v>
      </c>
      <c r="P5" s="124">
        <f t="shared" ref="P5:P31" si="4">+H5-M5-N5-O5</f>
        <v>442.02999999999884</v>
      </c>
      <c r="Q5" s="127">
        <v>712</v>
      </c>
      <c r="R5" s="126"/>
      <c r="S5" s="126"/>
      <c r="T5" s="126"/>
      <c r="U5" s="126">
        <v>251</v>
      </c>
      <c r="V5" s="126"/>
      <c r="W5" s="124">
        <f t="shared" si="1"/>
        <v>963</v>
      </c>
      <c r="Y5" s="125"/>
    </row>
    <row r="6" spans="1:25" x14ac:dyDescent="0.35">
      <c r="A6" s="122">
        <v>1997</v>
      </c>
      <c r="B6" s="123">
        <v>250</v>
      </c>
      <c r="C6" s="124">
        <v>200</v>
      </c>
      <c r="D6" s="125"/>
      <c r="E6" s="123">
        <v>6200</v>
      </c>
      <c r="F6" s="127"/>
      <c r="G6" s="158">
        <f t="shared" si="2"/>
        <v>6200</v>
      </c>
      <c r="H6" s="123">
        <f t="shared" si="3"/>
        <v>5942.74</v>
      </c>
      <c r="I6" s="341">
        <f t="shared" si="0"/>
        <v>891</v>
      </c>
      <c r="J6" s="131">
        <f t="shared" ref="J6:J31" si="5">+H6+I6</f>
        <v>6833.74</v>
      </c>
      <c r="K6" s="424">
        <f>700.93+4647.3</f>
        <v>5348.2300000000005</v>
      </c>
      <c r="L6" s="422"/>
      <c r="M6" s="123">
        <v>4642</v>
      </c>
      <c r="N6" s="126">
        <v>128</v>
      </c>
      <c r="O6" s="126">
        <v>830</v>
      </c>
      <c r="P6" s="124">
        <f t="shared" si="4"/>
        <v>342.73999999999978</v>
      </c>
      <c r="Q6" s="127"/>
      <c r="R6" s="126">
        <v>891</v>
      </c>
      <c r="S6" s="126"/>
      <c r="T6" s="126"/>
      <c r="U6" s="126"/>
      <c r="V6" s="126"/>
      <c r="W6" s="124">
        <f t="shared" si="1"/>
        <v>891</v>
      </c>
      <c r="Y6" s="125"/>
    </row>
    <row r="7" spans="1:25" x14ac:dyDescent="0.35">
      <c r="A7" s="122">
        <v>1998</v>
      </c>
      <c r="B7" s="123">
        <v>250</v>
      </c>
      <c r="C7" s="124">
        <v>250</v>
      </c>
      <c r="D7" s="125"/>
      <c r="E7" s="123">
        <v>7659</v>
      </c>
      <c r="F7" s="127"/>
      <c r="G7" s="158">
        <f t="shared" si="2"/>
        <v>7659</v>
      </c>
      <c r="H7" s="123">
        <f>-K7+K6+E7+F7-I7</f>
        <v>6253.3700000000008</v>
      </c>
      <c r="I7" s="341">
        <f t="shared" si="0"/>
        <v>320</v>
      </c>
      <c r="J7" s="131">
        <f t="shared" si="5"/>
        <v>6573.3700000000008</v>
      </c>
      <c r="K7" s="424">
        <f>2072.17+4361.69</f>
        <v>6433.86</v>
      </c>
      <c r="L7" s="422"/>
      <c r="M7" s="123">
        <v>4636</v>
      </c>
      <c r="N7" s="126">
        <v>156</v>
      </c>
      <c r="O7" s="126">
        <v>830</v>
      </c>
      <c r="P7" s="124">
        <f t="shared" si="4"/>
        <v>631.3700000000008</v>
      </c>
      <c r="Q7" s="127"/>
      <c r="R7" s="126">
        <v>320</v>
      </c>
      <c r="S7" s="126"/>
      <c r="T7" s="126"/>
      <c r="U7" s="126"/>
      <c r="V7" s="126"/>
      <c r="W7" s="124">
        <f t="shared" si="1"/>
        <v>320</v>
      </c>
      <c r="Y7" s="125"/>
    </row>
    <row r="8" spans="1:25" x14ac:dyDescent="0.35">
      <c r="A8" s="122">
        <v>1999</v>
      </c>
      <c r="B8" s="123">
        <v>250</v>
      </c>
      <c r="C8" s="124">
        <v>250</v>
      </c>
      <c r="D8" s="125"/>
      <c r="E8" s="123">
        <v>8278.27</v>
      </c>
      <c r="F8" s="127"/>
      <c r="G8" s="158">
        <f t="shared" si="2"/>
        <v>8278.27</v>
      </c>
      <c r="H8" s="123">
        <f t="shared" si="3"/>
        <v>4922.32</v>
      </c>
      <c r="I8" s="341">
        <f t="shared" si="0"/>
        <v>4205</v>
      </c>
      <c r="J8" s="131">
        <f t="shared" si="5"/>
        <v>9127.32</v>
      </c>
      <c r="K8" s="424">
        <v>5584.81</v>
      </c>
      <c r="L8" s="422"/>
      <c r="M8" s="123">
        <v>3591</v>
      </c>
      <c r="N8" s="126">
        <v>202</v>
      </c>
      <c r="O8" s="126">
        <v>830</v>
      </c>
      <c r="P8" s="124">
        <f t="shared" si="4"/>
        <v>299.31999999999971</v>
      </c>
      <c r="Q8" s="127"/>
      <c r="R8" s="126">
        <v>3448</v>
      </c>
      <c r="S8" s="126"/>
      <c r="T8" s="126">
        <v>400</v>
      </c>
      <c r="U8" s="126">
        <v>357</v>
      </c>
      <c r="V8" s="126" t="s">
        <v>385</v>
      </c>
      <c r="W8" s="124">
        <f t="shared" si="1"/>
        <v>4205</v>
      </c>
      <c r="Y8" s="125"/>
    </row>
    <row r="9" spans="1:25" x14ac:dyDescent="0.35">
      <c r="A9" s="122">
        <v>2000</v>
      </c>
      <c r="B9" s="123">
        <v>287.5</v>
      </c>
      <c r="C9" s="124">
        <f>+B9</f>
        <v>287.5</v>
      </c>
      <c r="D9" s="125"/>
      <c r="E9" s="123">
        <f>17215-7354</f>
        <v>9861</v>
      </c>
      <c r="F9" s="138">
        <f>5291+2063</f>
        <v>7354</v>
      </c>
      <c r="G9" s="158">
        <f t="shared" si="2"/>
        <v>17215</v>
      </c>
      <c r="H9" s="123">
        <f t="shared" si="3"/>
        <v>5429.8899999999994</v>
      </c>
      <c r="I9" s="341">
        <f t="shared" si="0"/>
        <v>8423</v>
      </c>
      <c r="J9" s="131">
        <f t="shared" si="5"/>
        <v>13852.89</v>
      </c>
      <c r="K9" s="424">
        <f>980.6+7966.32</f>
        <v>8946.92</v>
      </c>
      <c r="L9" s="422"/>
      <c r="M9" s="123">
        <v>2984</v>
      </c>
      <c r="N9" s="126">
        <v>1071</v>
      </c>
      <c r="O9" s="126">
        <v>663</v>
      </c>
      <c r="P9" s="124">
        <f t="shared" si="4"/>
        <v>711.88999999999942</v>
      </c>
      <c r="Q9" s="127"/>
      <c r="R9" s="126"/>
      <c r="S9" s="126">
        <f>2260+1136</f>
        <v>3396</v>
      </c>
      <c r="T9" s="126">
        <v>5027</v>
      </c>
      <c r="U9" s="126"/>
      <c r="V9" s="126" t="s">
        <v>214</v>
      </c>
      <c r="W9" s="124">
        <f t="shared" si="1"/>
        <v>8423</v>
      </c>
      <c r="Y9" s="125"/>
    </row>
    <row r="10" spans="1:25" x14ac:dyDescent="0.35">
      <c r="A10" s="122">
        <v>2001</v>
      </c>
      <c r="B10" s="123">
        <v>287.5</v>
      </c>
      <c r="C10" s="124">
        <v>275</v>
      </c>
      <c r="D10" s="125"/>
      <c r="E10" s="123">
        <v>9020.1</v>
      </c>
      <c r="F10" s="127"/>
      <c r="G10" s="158">
        <f t="shared" si="2"/>
        <v>9020.1</v>
      </c>
      <c r="H10" s="123">
        <f t="shared" si="3"/>
        <v>5982.6399999999994</v>
      </c>
      <c r="I10" s="341">
        <f t="shared" si="0"/>
        <v>1785</v>
      </c>
      <c r="J10" s="131">
        <f t="shared" si="5"/>
        <v>7767.6399999999994</v>
      </c>
      <c r="K10" s="424">
        <f>223.68+9975.7</f>
        <v>10199.380000000001</v>
      </c>
      <c r="L10" s="422"/>
      <c r="M10" s="123">
        <v>4139</v>
      </c>
      <c r="N10" s="126">
        <v>657</v>
      </c>
      <c r="O10" s="126">
        <v>721</v>
      </c>
      <c r="P10" s="124">
        <f t="shared" si="4"/>
        <v>465.63999999999942</v>
      </c>
      <c r="Q10" s="127">
        <v>1279</v>
      </c>
      <c r="R10" s="126">
        <v>506</v>
      </c>
      <c r="S10" s="126"/>
      <c r="T10" s="126"/>
      <c r="U10" s="126"/>
      <c r="V10" s="126"/>
      <c r="W10" s="124">
        <f t="shared" si="1"/>
        <v>1785</v>
      </c>
      <c r="Y10" s="125"/>
    </row>
    <row r="11" spans="1:25" x14ac:dyDescent="0.35">
      <c r="A11" s="122">
        <v>2002</v>
      </c>
      <c r="B11" s="123">
        <v>315</v>
      </c>
      <c r="C11" s="124">
        <f>+B11</f>
        <v>315</v>
      </c>
      <c r="D11" s="125"/>
      <c r="E11" s="123">
        <v>10225.92</v>
      </c>
      <c r="F11" s="127"/>
      <c r="G11" s="158">
        <f t="shared" si="2"/>
        <v>10225.92</v>
      </c>
      <c r="H11" s="123">
        <f t="shared" ref="H11:H28" si="6">-K11+K10+E11+F11-I11</f>
        <v>5593.590000000002</v>
      </c>
      <c r="I11" s="341">
        <f t="shared" si="0"/>
        <v>2367</v>
      </c>
      <c r="J11" s="131">
        <f t="shared" si="5"/>
        <v>7960.590000000002</v>
      </c>
      <c r="K11" s="424">
        <f>259.91+12204.8</f>
        <v>12464.71</v>
      </c>
      <c r="L11" s="422"/>
      <c r="M11" s="123">
        <v>3958</v>
      </c>
      <c r="N11" s="126">
        <v>648</v>
      </c>
      <c r="O11" s="126">
        <v>721</v>
      </c>
      <c r="P11" s="124">
        <f t="shared" si="4"/>
        <v>266.59000000000196</v>
      </c>
      <c r="Q11" s="127"/>
      <c r="R11" s="126">
        <v>675</v>
      </c>
      <c r="S11" s="126"/>
      <c r="T11" s="126">
        <v>1692</v>
      </c>
      <c r="U11" s="126"/>
      <c r="V11" s="126" t="s">
        <v>210</v>
      </c>
      <c r="W11" s="124">
        <f t="shared" si="1"/>
        <v>2367</v>
      </c>
      <c r="Y11" s="125"/>
    </row>
    <row r="12" spans="1:25" x14ac:dyDescent="0.35">
      <c r="A12" s="122">
        <v>2003</v>
      </c>
      <c r="B12" s="123">
        <v>350</v>
      </c>
      <c r="C12" s="124">
        <f t="shared" ref="C12:C28" si="7">+B12</f>
        <v>350</v>
      </c>
      <c r="D12" s="125"/>
      <c r="E12" s="123">
        <v>11304.78</v>
      </c>
      <c r="F12" s="127"/>
      <c r="G12" s="158">
        <f t="shared" si="2"/>
        <v>11304.78</v>
      </c>
      <c r="H12" s="123">
        <f t="shared" si="6"/>
        <v>6603.42</v>
      </c>
      <c r="I12" s="341">
        <f t="shared" si="0"/>
        <v>1585</v>
      </c>
      <c r="J12" s="131">
        <f t="shared" si="5"/>
        <v>8188.42</v>
      </c>
      <c r="K12" s="424">
        <f>1073.47+4507.6+10000</f>
        <v>15581.07</v>
      </c>
      <c r="L12" s="422"/>
      <c r="M12" s="123">
        <v>4025</v>
      </c>
      <c r="N12" s="126">
        <v>1337</v>
      </c>
      <c r="O12" s="126">
        <v>721</v>
      </c>
      <c r="P12" s="124">
        <f t="shared" si="4"/>
        <v>520.42000000000007</v>
      </c>
      <c r="Q12" s="123"/>
      <c r="R12" s="126">
        <v>595</v>
      </c>
      <c r="S12" s="126"/>
      <c r="T12" s="126">
        <v>468</v>
      </c>
      <c r="U12" s="126">
        <v>522</v>
      </c>
      <c r="V12" s="126" t="s">
        <v>216</v>
      </c>
      <c r="W12" s="124">
        <f t="shared" si="1"/>
        <v>1585</v>
      </c>
      <c r="Y12" s="125"/>
    </row>
    <row r="13" spans="1:25" x14ac:dyDescent="0.35">
      <c r="A13" s="122">
        <v>2004</v>
      </c>
      <c r="B13" s="123">
        <v>375</v>
      </c>
      <c r="C13" s="124">
        <f t="shared" si="7"/>
        <v>375</v>
      </c>
      <c r="D13" s="125"/>
      <c r="E13" s="123">
        <v>12128.08</v>
      </c>
      <c r="F13" s="127"/>
      <c r="G13" s="158">
        <f t="shared" si="2"/>
        <v>12128.08</v>
      </c>
      <c r="H13" s="123">
        <f t="shared" si="6"/>
        <v>6941.76</v>
      </c>
      <c r="I13" s="341">
        <f t="shared" si="0"/>
        <v>265</v>
      </c>
      <c r="J13" s="131">
        <f t="shared" si="5"/>
        <v>7206.76</v>
      </c>
      <c r="K13" s="424">
        <f>1867.93+18634.46</f>
        <v>20502.39</v>
      </c>
      <c r="L13" s="422"/>
      <c r="M13" s="123">
        <v>4280</v>
      </c>
      <c r="N13" s="126">
        <v>1500</v>
      </c>
      <c r="O13" s="126">
        <v>721</v>
      </c>
      <c r="P13" s="124">
        <f t="shared" si="4"/>
        <v>440.76000000000022</v>
      </c>
      <c r="Q13" s="426"/>
      <c r="R13" s="427">
        <v>265</v>
      </c>
      <c r="S13" s="427"/>
      <c r="T13" s="427"/>
      <c r="U13" s="427"/>
      <c r="V13" s="427"/>
      <c r="W13" s="428">
        <f t="shared" si="1"/>
        <v>265</v>
      </c>
      <c r="Y13" s="125"/>
    </row>
    <row r="14" spans="1:25" x14ac:dyDescent="0.35">
      <c r="A14" s="122">
        <v>2005</v>
      </c>
      <c r="B14" s="123">
        <v>375</v>
      </c>
      <c r="C14" s="124">
        <f t="shared" si="7"/>
        <v>375</v>
      </c>
      <c r="D14" s="125"/>
      <c r="E14" s="123">
        <v>12144.88</v>
      </c>
      <c r="F14" s="127"/>
      <c r="G14" s="158">
        <f t="shared" si="2"/>
        <v>12144.88</v>
      </c>
      <c r="H14" s="123">
        <f t="shared" si="6"/>
        <v>6949.7199999999993</v>
      </c>
      <c r="I14" s="341">
        <f t="shared" si="0"/>
        <v>3950</v>
      </c>
      <c r="J14" s="131">
        <f t="shared" si="5"/>
        <v>10899.72</v>
      </c>
      <c r="K14" s="424">
        <f>968.21+20779.34</f>
        <v>21747.55</v>
      </c>
      <c r="L14" s="422"/>
      <c r="M14" s="123">
        <v>4362</v>
      </c>
      <c r="N14" s="126">
        <v>1286</v>
      </c>
      <c r="O14" s="126">
        <v>500</v>
      </c>
      <c r="P14" s="124">
        <f t="shared" si="4"/>
        <v>801.71999999999935</v>
      </c>
      <c r="Q14" s="123">
        <v>3200</v>
      </c>
      <c r="R14" s="126"/>
      <c r="S14" s="126"/>
      <c r="T14" s="126">
        <v>750</v>
      </c>
      <c r="U14" s="126"/>
      <c r="V14" s="126"/>
      <c r="W14" s="124">
        <f t="shared" si="1"/>
        <v>3950</v>
      </c>
      <c r="Y14" s="125"/>
    </row>
    <row r="15" spans="1:25" x14ac:dyDescent="0.35">
      <c r="A15" s="122">
        <v>2006</v>
      </c>
      <c r="B15" s="123">
        <v>375</v>
      </c>
      <c r="C15" s="124">
        <f t="shared" si="7"/>
        <v>375</v>
      </c>
      <c r="D15" s="125"/>
      <c r="E15" s="123">
        <v>12156.56</v>
      </c>
      <c r="F15" s="127"/>
      <c r="G15" s="158">
        <f t="shared" si="2"/>
        <v>12156.56</v>
      </c>
      <c r="H15" s="123">
        <f t="shared" si="6"/>
        <v>6936.0699999999979</v>
      </c>
      <c r="I15" s="341">
        <f t="shared" si="0"/>
        <v>6000</v>
      </c>
      <c r="J15" s="131">
        <f t="shared" si="5"/>
        <v>12936.069999999998</v>
      </c>
      <c r="K15" s="424">
        <f>375.89+20592.15</f>
        <v>20968.04</v>
      </c>
      <c r="L15" s="422"/>
      <c r="M15" s="123">
        <v>3447</v>
      </c>
      <c r="N15" s="126">
        <v>2187</v>
      </c>
      <c r="O15" s="126">
        <v>500</v>
      </c>
      <c r="P15" s="124">
        <f t="shared" si="4"/>
        <v>802.06999999999789</v>
      </c>
      <c r="Q15" s="123"/>
      <c r="R15" s="126">
        <v>235</v>
      </c>
      <c r="S15" s="126">
        <v>5134</v>
      </c>
      <c r="T15" s="126"/>
      <c r="U15" s="126">
        <v>631</v>
      </c>
      <c r="V15" s="126" t="s">
        <v>211</v>
      </c>
      <c r="W15" s="124">
        <f t="shared" si="1"/>
        <v>6000</v>
      </c>
      <c r="Y15" s="125"/>
    </row>
    <row r="16" spans="1:25" x14ac:dyDescent="0.35">
      <c r="A16" s="122">
        <v>2007</v>
      </c>
      <c r="B16" s="123">
        <v>375</v>
      </c>
      <c r="C16" s="124">
        <f t="shared" si="7"/>
        <v>375</v>
      </c>
      <c r="D16" s="125"/>
      <c r="E16" s="123">
        <v>12073.85</v>
      </c>
      <c r="F16" s="127"/>
      <c r="G16" s="158">
        <f t="shared" si="2"/>
        <v>12073.85</v>
      </c>
      <c r="H16" s="123">
        <f t="shared" si="6"/>
        <v>8509.0300000000007</v>
      </c>
      <c r="I16" s="341">
        <f t="shared" si="0"/>
        <v>0</v>
      </c>
      <c r="J16" s="131">
        <f t="shared" si="5"/>
        <v>8509.0300000000007</v>
      </c>
      <c r="K16" s="424">
        <f>4241.86+20291</f>
        <v>24532.86</v>
      </c>
      <c r="L16" s="422"/>
      <c r="M16" s="123">
        <v>5073</v>
      </c>
      <c r="N16" s="126">
        <v>2156</v>
      </c>
      <c r="O16" s="126">
        <v>500</v>
      </c>
      <c r="P16" s="124">
        <f t="shared" si="4"/>
        <v>780.03000000000065</v>
      </c>
      <c r="Q16" s="123"/>
      <c r="R16" s="126"/>
      <c r="S16" s="126"/>
      <c r="T16" s="126"/>
      <c r="U16" s="126"/>
      <c r="V16" s="126"/>
      <c r="W16" s="124">
        <f t="shared" si="1"/>
        <v>0</v>
      </c>
      <c r="Y16" s="125"/>
    </row>
    <row r="17" spans="1:25" x14ac:dyDescent="0.35">
      <c r="A17" s="122">
        <v>2008</v>
      </c>
      <c r="B17" s="123">
        <v>375</v>
      </c>
      <c r="C17" s="124">
        <f t="shared" si="7"/>
        <v>375</v>
      </c>
      <c r="D17" s="125"/>
      <c r="E17" s="123">
        <v>12220.83</v>
      </c>
      <c r="F17" s="127"/>
      <c r="G17" s="158">
        <f t="shared" si="2"/>
        <v>12220.83</v>
      </c>
      <c r="H17" s="123">
        <f t="shared" si="6"/>
        <v>8886.69</v>
      </c>
      <c r="I17" s="341">
        <f t="shared" si="0"/>
        <v>5332</v>
      </c>
      <c r="J17" s="131">
        <f t="shared" si="5"/>
        <v>14218.69</v>
      </c>
      <c r="K17" s="424">
        <f>17990+4545</f>
        <v>22535</v>
      </c>
      <c r="L17" s="422"/>
      <c r="M17" s="123">
        <v>4736</v>
      </c>
      <c r="N17" s="126">
        <v>2926</v>
      </c>
      <c r="O17" s="126">
        <v>500</v>
      </c>
      <c r="P17" s="124">
        <f t="shared" si="4"/>
        <v>724.69000000000051</v>
      </c>
      <c r="Q17" s="123">
        <f>4019+571</f>
        <v>4590</v>
      </c>
      <c r="R17" s="126">
        <v>742</v>
      </c>
      <c r="S17" s="126"/>
      <c r="T17" s="126"/>
      <c r="U17" s="126"/>
      <c r="V17" s="126"/>
      <c r="W17" s="124">
        <f t="shared" si="1"/>
        <v>5332</v>
      </c>
      <c r="Y17" s="125"/>
    </row>
    <row r="18" spans="1:25" x14ac:dyDescent="0.35">
      <c r="A18" s="122">
        <v>2009</v>
      </c>
      <c r="B18" s="123">
        <v>375</v>
      </c>
      <c r="C18" s="124">
        <f t="shared" si="7"/>
        <v>375</v>
      </c>
      <c r="D18" s="157"/>
      <c r="E18" s="159">
        <v>11331.85</v>
      </c>
      <c r="F18" s="127"/>
      <c r="G18" s="158">
        <f t="shared" si="2"/>
        <v>11331.85</v>
      </c>
      <c r="H18" s="123">
        <f t="shared" si="6"/>
        <v>8137.2000000000007</v>
      </c>
      <c r="I18" s="341">
        <f t="shared" si="0"/>
        <v>9886</v>
      </c>
      <c r="J18" s="131">
        <f t="shared" si="5"/>
        <v>18023.2</v>
      </c>
      <c r="K18" s="424">
        <f>3521.35+12322.3</f>
        <v>15843.65</v>
      </c>
      <c r="L18" s="422"/>
      <c r="M18" s="123">
        <v>5231</v>
      </c>
      <c r="N18" s="126">
        <v>1674</v>
      </c>
      <c r="O18" s="126">
        <v>500</v>
      </c>
      <c r="P18" s="124">
        <f t="shared" si="4"/>
        <v>732.20000000000073</v>
      </c>
      <c r="Q18" s="123"/>
      <c r="R18" s="126"/>
      <c r="S18" s="126">
        <v>6586</v>
      </c>
      <c r="T18" s="126"/>
      <c r="U18" s="126">
        <v>3300</v>
      </c>
      <c r="V18" s="126" t="s">
        <v>212</v>
      </c>
      <c r="W18" s="124">
        <f t="shared" si="1"/>
        <v>9886</v>
      </c>
      <c r="Y18" s="125"/>
    </row>
    <row r="19" spans="1:25" x14ac:dyDescent="0.35">
      <c r="A19" s="122">
        <v>2010</v>
      </c>
      <c r="B19" s="123">
        <v>375</v>
      </c>
      <c r="C19" s="124">
        <f t="shared" si="7"/>
        <v>375</v>
      </c>
      <c r="D19" s="157"/>
      <c r="E19" s="123">
        <v>12015.41</v>
      </c>
      <c r="F19" s="127"/>
      <c r="G19" s="158">
        <f t="shared" si="2"/>
        <v>12015.41</v>
      </c>
      <c r="H19" s="123">
        <f t="shared" si="6"/>
        <v>8990.42</v>
      </c>
      <c r="I19" s="341">
        <f t="shared" si="0"/>
        <v>2435</v>
      </c>
      <c r="J19" s="131">
        <f t="shared" si="5"/>
        <v>11425.42</v>
      </c>
      <c r="K19" s="424">
        <f>5970.93+10462.71</f>
        <v>16433.64</v>
      </c>
      <c r="L19" s="422"/>
      <c r="M19" s="123">
        <v>5935</v>
      </c>
      <c r="N19" s="126">
        <v>1664</v>
      </c>
      <c r="O19" s="126">
        <v>516</v>
      </c>
      <c r="P19" s="124">
        <f t="shared" si="4"/>
        <v>875.42000000000007</v>
      </c>
      <c r="Q19" s="123"/>
      <c r="R19" s="126">
        <v>1022</v>
      </c>
      <c r="S19" s="126">
        <v>1413</v>
      </c>
      <c r="T19" s="126"/>
      <c r="U19" s="126"/>
      <c r="V19" s="126"/>
      <c r="W19" s="124">
        <f t="shared" si="1"/>
        <v>2435</v>
      </c>
      <c r="Y19" s="125"/>
    </row>
    <row r="20" spans="1:25" x14ac:dyDescent="0.35">
      <c r="A20" s="122">
        <v>2011</v>
      </c>
      <c r="B20" s="123">
        <v>375</v>
      </c>
      <c r="C20" s="124">
        <f t="shared" si="7"/>
        <v>375</v>
      </c>
      <c r="D20" s="157"/>
      <c r="E20" s="123">
        <v>12009.61</v>
      </c>
      <c r="F20" s="127"/>
      <c r="G20" s="158">
        <f t="shared" si="2"/>
        <v>12009.61</v>
      </c>
      <c r="H20" s="123">
        <f t="shared" si="6"/>
        <v>8960.630000000001</v>
      </c>
      <c r="I20" s="341">
        <f t="shared" si="0"/>
        <v>0</v>
      </c>
      <c r="J20" s="131">
        <f t="shared" si="5"/>
        <v>8960.630000000001</v>
      </c>
      <c r="K20" s="424">
        <v>19482.62</v>
      </c>
      <c r="L20" s="422"/>
      <c r="M20" s="123">
        <v>6217</v>
      </c>
      <c r="N20" s="126">
        <v>1736</v>
      </c>
      <c r="O20" s="126">
        <v>555</v>
      </c>
      <c r="P20" s="124">
        <f t="shared" si="4"/>
        <v>452.63000000000102</v>
      </c>
      <c r="Q20" s="123"/>
      <c r="R20" s="126"/>
      <c r="S20" s="126"/>
      <c r="T20" s="126"/>
      <c r="U20" s="126"/>
      <c r="V20" s="126"/>
      <c r="W20" s="124">
        <f t="shared" si="1"/>
        <v>0</v>
      </c>
      <c r="Y20" s="125"/>
    </row>
    <row r="21" spans="1:25" x14ac:dyDescent="0.35">
      <c r="A21" s="122">
        <v>2012</v>
      </c>
      <c r="B21" s="123">
        <v>375</v>
      </c>
      <c r="C21" s="124">
        <f t="shared" si="7"/>
        <v>375</v>
      </c>
      <c r="D21" s="157"/>
      <c r="E21" s="123">
        <v>12005.76</v>
      </c>
      <c r="F21" s="127"/>
      <c r="G21" s="158">
        <f t="shared" si="2"/>
        <v>12005.76</v>
      </c>
      <c r="H21" s="123">
        <f t="shared" si="6"/>
        <v>7775.1999999999989</v>
      </c>
      <c r="I21" s="341">
        <f t="shared" si="0"/>
        <v>175</v>
      </c>
      <c r="J21" s="131">
        <f t="shared" si="5"/>
        <v>7950.1999999999989</v>
      </c>
      <c r="K21" s="424">
        <v>23538.18</v>
      </c>
      <c r="L21" s="422"/>
      <c r="M21" s="123">
        <v>6232</v>
      </c>
      <c r="N21" s="126">
        <v>632</v>
      </c>
      <c r="O21" s="126">
        <v>555</v>
      </c>
      <c r="P21" s="124">
        <f t="shared" si="4"/>
        <v>356.19999999999891</v>
      </c>
      <c r="Q21" s="123"/>
      <c r="R21" s="126">
        <v>175</v>
      </c>
      <c r="S21" s="126"/>
      <c r="T21" s="126"/>
      <c r="U21" s="126"/>
      <c r="V21" s="126"/>
      <c r="W21" s="124">
        <f t="shared" si="1"/>
        <v>175</v>
      </c>
      <c r="Y21" s="125"/>
    </row>
    <row r="22" spans="1:25" x14ac:dyDescent="0.35">
      <c r="A22" s="122">
        <v>2013</v>
      </c>
      <c r="B22" s="123">
        <v>375</v>
      </c>
      <c r="C22" s="124">
        <f t="shared" si="7"/>
        <v>375</v>
      </c>
      <c r="D22" s="157"/>
      <c r="E22" s="159">
        <v>11628</v>
      </c>
      <c r="F22" s="127"/>
      <c r="G22" s="158">
        <f t="shared" si="2"/>
        <v>11628</v>
      </c>
      <c r="H22" s="123">
        <f t="shared" si="6"/>
        <v>8052.43</v>
      </c>
      <c r="I22" s="341">
        <f t="shared" si="0"/>
        <v>367</v>
      </c>
      <c r="J22" s="131">
        <f t="shared" si="5"/>
        <v>8419.43</v>
      </c>
      <c r="K22" s="424">
        <v>26746.75</v>
      </c>
      <c r="L22" s="422"/>
      <c r="M22" s="123">
        <v>6232</v>
      </c>
      <c r="N22" s="126">
        <v>598</v>
      </c>
      <c r="O22" s="126">
        <v>555</v>
      </c>
      <c r="P22" s="124">
        <f t="shared" si="4"/>
        <v>667.43000000000029</v>
      </c>
      <c r="Q22" s="123"/>
      <c r="R22" s="126"/>
      <c r="S22" s="126"/>
      <c r="T22" s="126"/>
      <c r="U22" s="126">
        <v>367</v>
      </c>
      <c r="V22" s="126" t="s">
        <v>217</v>
      </c>
      <c r="W22" s="124">
        <f t="shared" si="1"/>
        <v>367</v>
      </c>
      <c r="Y22" s="125"/>
    </row>
    <row r="23" spans="1:25" x14ac:dyDescent="0.35">
      <c r="A23" s="122">
        <v>2014</v>
      </c>
      <c r="B23" s="123">
        <v>375</v>
      </c>
      <c r="C23" s="124">
        <f t="shared" si="7"/>
        <v>375</v>
      </c>
      <c r="D23" s="157"/>
      <c r="E23" s="123">
        <f>+'2014 To 2020'!C10</f>
        <v>12004.17</v>
      </c>
      <c r="F23" s="127"/>
      <c r="G23" s="158">
        <f t="shared" si="2"/>
        <v>12004.17</v>
      </c>
      <c r="H23" s="123">
        <f t="shared" si="6"/>
        <v>8510.6999999999989</v>
      </c>
      <c r="I23" s="341">
        <f t="shared" si="0"/>
        <v>1947</v>
      </c>
      <c r="J23" s="131">
        <f t="shared" si="5"/>
        <v>10457.699999999999</v>
      </c>
      <c r="K23" s="424">
        <f>+'2014 To 2020'!C32</f>
        <v>28293.22</v>
      </c>
      <c r="L23" s="422"/>
      <c r="M23" s="123">
        <f>+'2014 To 2020'!C13+'2014 To 2020'!C14</f>
        <v>6276.7199999999975</v>
      </c>
      <c r="N23" s="126">
        <f>+'2014 To 2020'!C23</f>
        <v>1358.42</v>
      </c>
      <c r="O23" s="126">
        <f>+'2014 To 2020'!C19</f>
        <v>617</v>
      </c>
      <c r="P23" s="124">
        <f t="shared" si="4"/>
        <v>258.56000000000131</v>
      </c>
      <c r="Q23" s="123"/>
      <c r="R23" s="126">
        <v>469</v>
      </c>
      <c r="S23" s="126">
        <v>1478</v>
      </c>
      <c r="T23" s="126"/>
      <c r="U23" s="126"/>
      <c r="V23" s="126"/>
      <c r="W23" s="124">
        <f t="shared" si="1"/>
        <v>1947</v>
      </c>
      <c r="Y23" s="125"/>
    </row>
    <row r="24" spans="1:25" x14ac:dyDescent="0.35">
      <c r="A24" s="122">
        <v>2015</v>
      </c>
      <c r="B24" s="123">
        <v>375</v>
      </c>
      <c r="C24" s="124">
        <f t="shared" si="7"/>
        <v>375</v>
      </c>
      <c r="D24" s="157"/>
      <c r="E24" s="159">
        <f>+'2014 To 2020'!D10</f>
        <v>10878.17</v>
      </c>
      <c r="F24" s="127"/>
      <c r="G24" s="158">
        <f t="shared" si="2"/>
        <v>10878.17</v>
      </c>
      <c r="H24" s="123">
        <f t="shared" si="6"/>
        <v>7729.35</v>
      </c>
      <c r="I24" s="341">
        <f t="shared" si="0"/>
        <v>6110</v>
      </c>
      <c r="J24" s="131">
        <f t="shared" si="5"/>
        <v>13839.35</v>
      </c>
      <c r="K24" s="424">
        <f>+'2014 To 2020'!D32</f>
        <v>25332.04</v>
      </c>
      <c r="L24" s="422"/>
      <c r="M24" s="123">
        <f>+'2014 To 2020'!D13+'2014 To 2020'!D14</f>
        <v>6276.739999999998</v>
      </c>
      <c r="N24" s="126">
        <f>+'2014 To 2020'!D23</f>
        <v>1227.8699999999999</v>
      </c>
      <c r="O24" s="126">
        <f>+'2014 To 2020'!D19</f>
        <v>0</v>
      </c>
      <c r="P24" s="124">
        <f t="shared" si="4"/>
        <v>224.74000000000251</v>
      </c>
      <c r="Q24" s="123">
        <v>6110</v>
      </c>
      <c r="R24" s="126"/>
      <c r="S24" s="126"/>
      <c r="T24" s="126"/>
      <c r="U24" s="126"/>
      <c r="V24" s="126"/>
      <c r="W24" s="124">
        <f t="shared" si="1"/>
        <v>6110</v>
      </c>
      <c r="Y24" s="125"/>
    </row>
    <row r="25" spans="1:25" x14ac:dyDescent="0.35">
      <c r="A25" s="122">
        <v>2016</v>
      </c>
      <c r="B25" s="123">
        <v>375</v>
      </c>
      <c r="C25" s="124">
        <f t="shared" si="7"/>
        <v>375</v>
      </c>
      <c r="D25" s="157"/>
      <c r="E25" s="123">
        <f>+'2014 To 2020'!E10</f>
        <v>13500.04</v>
      </c>
      <c r="F25" s="127"/>
      <c r="G25" s="158">
        <f t="shared" si="2"/>
        <v>13500.04</v>
      </c>
      <c r="H25" s="123">
        <f t="shared" si="6"/>
        <v>8294.98</v>
      </c>
      <c r="I25" s="341">
        <f t="shared" si="0"/>
        <v>10754</v>
      </c>
      <c r="J25" s="131">
        <f t="shared" si="5"/>
        <v>19048.98</v>
      </c>
      <c r="K25" s="424">
        <f>+'2014 To 2020'!E32</f>
        <v>19783.100000000002</v>
      </c>
      <c r="L25" s="422"/>
      <c r="M25" s="123">
        <f>+'2014 To 2020'!E13+'2014 To 2020'!E14</f>
        <v>6616.3300000000008</v>
      </c>
      <c r="N25" s="126">
        <f>+'2014 To 2020'!E23</f>
        <v>620.05000000000007</v>
      </c>
      <c r="O25" s="126">
        <f>+'2014 To 2020'!E19</f>
        <v>690.85999999999979</v>
      </c>
      <c r="P25" s="124">
        <f t="shared" si="4"/>
        <v>367.73999999999876</v>
      </c>
      <c r="Q25" s="123">
        <v>10754</v>
      </c>
      <c r="R25" s="126"/>
      <c r="S25" s="126"/>
      <c r="T25" s="126"/>
      <c r="U25" s="126"/>
      <c r="V25" s="126"/>
      <c r="W25" s="124">
        <f t="shared" si="1"/>
        <v>10754</v>
      </c>
      <c r="Y25" s="125"/>
    </row>
    <row r="26" spans="1:25" x14ac:dyDescent="0.35">
      <c r="A26" s="122">
        <v>2017</v>
      </c>
      <c r="B26" s="123">
        <v>375</v>
      </c>
      <c r="C26" s="124">
        <f t="shared" si="7"/>
        <v>375</v>
      </c>
      <c r="D26" s="157"/>
      <c r="E26" s="159">
        <f>+'2014 To 2020'!F10</f>
        <v>11245</v>
      </c>
      <c r="F26" s="127"/>
      <c r="G26" s="158">
        <f t="shared" si="2"/>
        <v>11245</v>
      </c>
      <c r="H26" s="123">
        <f t="shared" si="6"/>
        <v>7868.0000000000036</v>
      </c>
      <c r="I26" s="341">
        <f t="shared" si="0"/>
        <v>0</v>
      </c>
      <c r="J26" s="131">
        <f t="shared" si="5"/>
        <v>7868.0000000000036</v>
      </c>
      <c r="K26" s="424">
        <f>+'2014 To 2020'!F32</f>
        <v>23160.1</v>
      </c>
      <c r="L26" s="422"/>
      <c r="M26" s="123">
        <f>+'2014 To 2020'!F13+'2014 To 2020'!F14</f>
        <v>6448.4499999999989</v>
      </c>
      <c r="N26" s="126">
        <f>+'2014 To 2020'!F23</f>
        <v>617.43999999999994</v>
      </c>
      <c r="O26" s="126">
        <f>+'2014 To 2020'!F19</f>
        <v>641.0999999999998</v>
      </c>
      <c r="P26" s="124">
        <f t="shared" si="4"/>
        <v>161.01000000000499</v>
      </c>
      <c r="Q26" s="123"/>
      <c r="R26" s="126"/>
      <c r="S26" s="126"/>
      <c r="T26" s="126"/>
      <c r="U26" s="126"/>
      <c r="V26" s="126"/>
      <c r="W26" s="124">
        <f t="shared" si="1"/>
        <v>0</v>
      </c>
      <c r="Y26" s="125"/>
    </row>
    <row r="27" spans="1:25" x14ac:dyDescent="0.35">
      <c r="A27" s="122">
        <v>2018</v>
      </c>
      <c r="B27" s="123">
        <v>375</v>
      </c>
      <c r="C27" s="124">
        <f t="shared" si="7"/>
        <v>375</v>
      </c>
      <c r="D27" s="157"/>
      <c r="E27" s="159">
        <f>+'2014 To 2020'!G10</f>
        <v>10500</v>
      </c>
      <c r="F27" s="127"/>
      <c r="G27" s="158">
        <f t="shared" si="2"/>
        <v>10500</v>
      </c>
      <c r="H27" s="123">
        <f t="shared" si="6"/>
        <v>10286.029999999999</v>
      </c>
      <c r="I27" s="341">
        <f t="shared" si="0"/>
        <v>0</v>
      </c>
      <c r="J27" s="131">
        <f t="shared" si="5"/>
        <v>10286.029999999999</v>
      </c>
      <c r="K27" s="424">
        <f>+'2014 To 2020'!G32</f>
        <v>23374.07</v>
      </c>
      <c r="L27" s="422"/>
      <c r="M27" s="123">
        <f>+'2014 To 2020'!G13+'2014 To 2020'!G14</f>
        <v>8002.46</v>
      </c>
      <c r="N27" s="126">
        <f>+'2014 To 2020'!G23</f>
        <v>1152.77</v>
      </c>
      <c r="O27" s="126">
        <f>+'2014 To 2020'!G19</f>
        <v>702</v>
      </c>
      <c r="P27" s="124">
        <f t="shared" si="4"/>
        <v>428.79999999999882</v>
      </c>
      <c r="Q27" s="123"/>
      <c r="R27" s="126"/>
      <c r="S27" s="126"/>
      <c r="T27" s="126"/>
      <c r="U27" s="126"/>
      <c r="V27" s="126"/>
      <c r="W27" s="124">
        <f t="shared" si="1"/>
        <v>0</v>
      </c>
      <c r="Y27" s="125"/>
    </row>
    <row r="28" spans="1:25" x14ac:dyDescent="0.35">
      <c r="A28" s="122">
        <v>2019</v>
      </c>
      <c r="B28" s="123">
        <v>375</v>
      </c>
      <c r="C28" s="124">
        <f t="shared" si="7"/>
        <v>375</v>
      </c>
      <c r="D28" s="157"/>
      <c r="E28" s="123">
        <f>+'2014 To 2020'!H10</f>
        <v>13125</v>
      </c>
      <c r="F28" s="127"/>
      <c r="G28" s="158">
        <f t="shared" si="2"/>
        <v>13125</v>
      </c>
      <c r="H28" s="123">
        <f t="shared" si="6"/>
        <v>11332.160000000003</v>
      </c>
      <c r="I28" s="341">
        <f t="shared" si="0"/>
        <v>8157</v>
      </c>
      <c r="J28" s="131">
        <f t="shared" si="5"/>
        <v>19489.160000000003</v>
      </c>
      <c r="K28" s="424">
        <f>+'2014 To 2020'!H32</f>
        <v>17009.909999999996</v>
      </c>
      <c r="L28" s="422"/>
      <c r="M28" s="123">
        <f>+'2014 To 2020'!H13+'2014 To 2020'!H14</f>
        <v>8574.82</v>
      </c>
      <c r="N28" s="126">
        <f>+'2014 To 2020'!H23</f>
        <v>647.21999999999991</v>
      </c>
      <c r="O28" s="126">
        <f>+'2014 To 2020'!H19</f>
        <v>790.7</v>
      </c>
      <c r="P28" s="124">
        <f t="shared" si="4"/>
        <v>1319.4200000000039</v>
      </c>
      <c r="Q28" s="123"/>
      <c r="R28" s="126">
        <f>1530+277</f>
        <v>1807</v>
      </c>
      <c r="S28" s="126"/>
      <c r="T28" s="126"/>
      <c r="U28" s="126">
        <v>6350</v>
      </c>
      <c r="V28" s="126" t="s">
        <v>386</v>
      </c>
      <c r="W28" s="124">
        <f t="shared" si="1"/>
        <v>8157</v>
      </c>
      <c r="Y28" s="125"/>
    </row>
    <row r="29" spans="1:25" x14ac:dyDescent="0.35">
      <c r="A29" s="122">
        <v>2020</v>
      </c>
      <c r="B29" s="123">
        <f>+'2020 ByMo'!B5</f>
        <v>430</v>
      </c>
      <c r="C29" s="124">
        <f>+B29</f>
        <v>430</v>
      </c>
      <c r="D29" s="157"/>
      <c r="E29" s="123">
        <f>+'2014 To 2020'!I8</f>
        <v>13760</v>
      </c>
      <c r="F29" s="126"/>
      <c r="G29" s="420">
        <f>+E29+F29</f>
        <v>13760</v>
      </c>
      <c r="H29" s="123">
        <f>-K29+K28+E29+F29-I29</f>
        <v>10441.869999999999</v>
      </c>
      <c r="I29" s="341">
        <f t="shared" si="0"/>
        <v>2580</v>
      </c>
      <c r="J29" s="131">
        <f t="shared" si="5"/>
        <v>13021.869999999999</v>
      </c>
      <c r="K29" s="424">
        <f>+'2014 To 2020'!I32</f>
        <v>17748.039999999997</v>
      </c>
      <c r="L29" s="422"/>
      <c r="M29" s="123">
        <f>+'2014 To 2020'!I13+'2014 To 2020'!I14</f>
        <v>7326.25</v>
      </c>
      <c r="N29" s="126">
        <f>+'2014 To 2020'!I23</f>
        <v>1298.5500000000002</v>
      </c>
      <c r="O29" s="126">
        <f>+'2014 To 2020'!I19</f>
        <v>1048.7300000000002</v>
      </c>
      <c r="P29" s="124">
        <f t="shared" si="4"/>
        <v>768.33999999999855</v>
      </c>
      <c r="Q29" s="123"/>
      <c r="R29" s="126"/>
      <c r="S29" s="126"/>
      <c r="T29" s="126"/>
      <c r="U29" s="126">
        <v>2580</v>
      </c>
      <c r="V29" s="126" t="s">
        <v>282</v>
      </c>
      <c r="W29" s="124">
        <f t="shared" si="1"/>
        <v>2580</v>
      </c>
      <c r="Y29" s="125"/>
    </row>
    <row r="30" spans="1:25" ht="15" thickBot="1" x14ac:dyDescent="0.4">
      <c r="A30" s="122">
        <v>2021</v>
      </c>
      <c r="B30" s="123">
        <f>+'2021 ByMo'!B5</f>
        <v>430</v>
      </c>
      <c r="C30" s="124">
        <f>+B30</f>
        <v>430</v>
      </c>
      <c r="D30" s="157"/>
      <c r="E30" s="123">
        <f>+'2021 ByMo'!D5</f>
        <v>13760</v>
      </c>
      <c r="F30" s="126"/>
      <c r="G30" s="420">
        <f>+E30+F30</f>
        <v>13760</v>
      </c>
      <c r="H30" s="123">
        <f>-K30+K29+E30+F30-I30</f>
        <v>8208.3499999999985</v>
      </c>
      <c r="I30" s="341">
        <f t="shared" si="0"/>
        <v>593.54</v>
      </c>
      <c r="J30" s="131">
        <f t="shared" si="5"/>
        <v>8801.89</v>
      </c>
      <c r="K30" s="424">
        <f>+'2021 ByMo'!D26</f>
        <v>22706.149999999998</v>
      </c>
      <c r="L30" s="422"/>
      <c r="M30" s="123">
        <f>+'2021 ByMo'!D9+'2021 ByMo'!D10</f>
        <v>6050</v>
      </c>
      <c r="N30" s="126">
        <f>+'2021 ByMo'!D17</f>
        <v>1077.3899999999999</v>
      </c>
      <c r="O30" s="126">
        <f>+'2021 ByMo'!D13</f>
        <v>1032.9600000000003</v>
      </c>
      <c r="P30" s="124">
        <f t="shared" si="4"/>
        <v>47.999999999998408</v>
      </c>
      <c r="Q30" s="123">
        <f>+'2021 ByMo'!P11</f>
        <v>0</v>
      </c>
      <c r="R30" s="126"/>
      <c r="S30" s="126"/>
      <c r="T30" s="126"/>
      <c r="U30" s="126">
        <f>+'2021 ByMo'!K11</f>
        <v>593.54</v>
      </c>
      <c r="V30" s="126" t="s">
        <v>407</v>
      </c>
      <c r="W30" s="280">
        <f t="shared" si="1"/>
        <v>593.54</v>
      </c>
      <c r="Y30" s="125"/>
    </row>
    <row r="31" spans="1:25" ht="15" thickBot="1" x14ac:dyDescent="0.4">
      <c r="A31" s="122">
        <v>2022</v>
      </c>
      <c r="B31" s="438">
        <f>+'2022 ByMo'!B5</f>
        <v>430</v>
      </c>
      <c r="C31" s="418">
        <f>+B31</f>
        <v>430</v>
      </c>
      <c r="D31" s="157"/>
      <c r="E31" s="416">
        <f>+'2022 ByMo'!D5</f>
        <v>13760</v>
      </c>
      <c r="F31" s="417"/>
      <c r="G31" s="444">
        <f>+E31+F31</f>
        <v>13760</v>
      </c>
      <c r="H31" s="448">
        <f>-K31+K30+E31+F31-I31</f>
        <v>11458.980000000007</v>
      </c>
      <c r="I31" s="449">
        <f t="shared" si="0"/>
        <v>700</v>
      </c>
      <c r="J31" s="450">
        <f t="shared" si="5"/>
        <v>12158.980000000007</v>
      </c>
      <c r="K31" s="424">
        <f>+'2022 ByMo'!D25</f>
        <v>24307.169999999991</v>
      </c>
      <c r="L31" s="125"/>
      <c r="M31" s="416">
        <f>+'2022 ByMo'!D9+'2022 ByMo'!D10</f>
        <v>7435.89</v>
      </c>
      <c r="N31" s="417">
        <f>+'2022 ByMo'!D17</f>
        <v>1746.94</v>
      </c>
      <c r="O31" s="417">
        <f>+'2022 ByMo'!D13</f>
        <v>1032.9600000000003</v>
      </c>
      <c r="P31" s="419">
        <f t="shared" si="4"/>
        <v>1243.1900000000062</v>
      </c>
      <c r="Q31" s="416"/>
      <c r="R31" s="417"/>
      <c r="S31" s="417"/>
      <c r="T31" s="417"/>
      <c r="U31" s="417">
        <f>+'2022 ByMo'!D11</f>
        <v>700</v>
      </c>
      <c r="V31" s="439" t="s">
        <v>408</v>
      </c>
      <c r="W31" s="280">
        <f t="shared" si="1"/>
        <v>700</v>
      </c>
      <c r="Y31" s="125"/>
    </row>
    <row r="32" spans="1:25" ht="15" thickBot="1" x14ac:dyDescent="0.4">
      <c r="D32" s="156"/>
      <c r="E32" s="445">
        <f t="shared" ref="E32:J32" si="8">SUM(E4:E31)</f>
        <v>310052.28000000003</v>
      </c>
      <c r="F32" s="446">
        <f t="shared" si="8"/>
        <v>7354</v>
      </c>
      <c r="G32" s="447">
        <f t="shared" si="8"/>
        <v>317406.28000000003</v>
      </c>
      <c r="H32" s="451">
        <f t="shared" si="8"/>
        <v>213308.57000000004</v>
      </c>
      <c r="I32" s="452">
        <f t="shared" si="8"/>
        <v>79790.539999999994</v>
      </c>
      <c r="J32" s="453">
        <f t="shared" si="8"/>
        <v>293099.11000000004</v>
      </c>
      <c r="M32" s="440">
        <f t="shared" ref="M32:U32" si="9">SUM(M4:M31)</f>
        <v>148162.66</v>
      </c>
      <c r="N32" s="441">
        <f t="shared" si="9"/>
        <v>30990.649999999994</v>
      </c>
      <c r="O32" s="441">
        <f t="shared" si="9"/>
        <v>18854.310000000001</v>
      </c>
      <c r="P32" s="442">
        <f t="shared" si="9"/>
        <v>15300.950000000013</v>
      </c>
      <c r="Q32" s="440">
        <f t="shared" si="9"/>
        <v>26645</v>
      </c>
      <c r="R32" s="441">
        <f t="shared" si="9"/>
        <v>11150</v>
      </c>
      <c r="S32" s="441">
        <f t="shared" si="9"/>
        <v>18007</v>
      </c>
      <c r="T32" s="441">
        <f t="shared" si="9"/>
        <v>8337</v>
      </c>
      <c r="U32" s="442">
        <f t="shared" si="9"/>
        <v>15651.54</v>
      </c>
      <c r="V32" s="443"/>
      <c r="W32" s="418">
        <f t="shared" si="1"/>
        <v>79790.540000000008</v>
      </c>
      <c r="Y32" s="125"/>
    </row>
    <row r="33" spans="4:22" ht="15" thickBot="1" x14ac:dyDescent="0.4">
      <c r="D33" s="157"/>
      <c r="E33" s="139"/>
      <c r="F33" s="140"/>
      <c r="G33" s="141" t="s">
        <v>133</v>
      </c>
      <c r="H33" s="142">
        <f>+H32/$J32</f>
        <v>0.72776942243188658</v>
      </c>
      <c r="I33" s="142">
        <f>+I32/$J32</f>
        <v>0.27223057756811331</v>
      </c>
      <c r="J33" s="143"/>
      <c r="K33" s="144"/>
      <c r="L33" s="144"/>
      <c r="M33" s="145">
        <f>+M32/$J32</f>
        <v>0.50550361616587636</v>
      </c>
      <c r="N33" s="146">
        <f t="shared" ref="N33:R33" si="10">+N32/$J32</f>
        <v>0.10573437087543523</v>
      </c>
      <c r="O33" s="146">
        <f t="shared" si="10"/>
        <v>6.4327421533282719E-2</v>
      </c>
      <c r="P33" s="146">
        <f t="shared" si="10"/>
        <v>5.2204013857292203E-2</v>
      </c>
      <c r="Q33" s="146">
        <f t="shared" si="10"/>
        <v>9.0907816130864391E-2</v>
      </c>
      <c r="R33" s="146">
        <f t="shared" si="10"/>
        <v>3.8041739533088308E-2</v>
      </c>
      <c r="S33" s="146">
        <f>+S32/$J32</f>
        <v>6.1436556392136424E-2</v>
      </c>
      <c r="T33" s="146">
        <f>+T32/$J32</f>
        <v>2.8444303362094817E-2</v>
      </c>
      <c r="U33" s="147">
        <f>+U32/$J32</f>
        <v>5.3400162149929417E-2</v>
      </c>
      <c r="V33" s="193">
        <f>SUM(M33:U33)</f>
        <v>0.99999999999999989</v>
      </c>
    </row>
    <row r="34" spans="4:22" x14ac:dyDescent="0.35">
      <c r="D34" s="157"/>
      <c r="E34" s="273" t="s">
        <v>200</v>
      </c>
      <c r="F34" s="140"/>
      <c r="G34" s="141"/>
      <c r="H34" s="144"/>
      <c r="I34" s="144"/>
      <c r="J34" s="143"/>
      <c r="K34" s="144"/>
      <c r="L34" s="144"/>
      <c r="M34" s="144"/>
      <c r="N34" s="144"/>
      <c r="O34" s="144"/>
      <c r="P34" s="276"/>
    </row>
    <row r="101" spans="3:16" x14ac:dyDescent="0.35">
      <c r="C101" s="109" t="s">
        <v>164</v>
      </c>
    </row>
    <row r="102" spans="3:16" x14ac:dyDescent="0.35">
      <c r="E102" s="108" t="s">
        <v>31</v>
      </c>
      <c r="F102" s="108" t="s">
        <v>32</v>
      </c>
      <c r="G102" s="108" t="s">
        <v>165</v>
      </c>
      <c r="H102" s="108" t="s">
        <v>166</v>
      </c>
      <c r="I102" s="108" t="s">
        <v>35</v>
      </c>
      <c r="J102" s="108" t="s">
        <v>167</v>
      </c>
      <c r="K102" s="108" t="s">
        <v>168</v>
      </c>
      <c r="L102" s="108" t="s">
        <v>169</v>
      </c>
      <c r="M102" s="108" t="s">
        <v>170</v>
      </c>
      <c r="N102" s="108" t="s">
        <v>171</v>
      </c>
      <c r="O102" s="108" t="s">
        <v>134</v>
      </c>
      <c r="P102" s="108" t="s">
        <v>172</v>
      </c>
    </row>
    <row r="103" spans="3:16" x14ac:dyDescent="0.35">
      <c r="C103">
        <v>2014</v>
      </c>
      <c r="E103" s="125">
        <f>+'2014 ByMo'!D26</f>
        <v>26217.55</v>
      </c>
      <c r="F103" s="125">
        <f>+'2014 ByMo'!E26</f>
        <v>25610.5</v>
      </c>
      <c r="G103" s="125">
        <f>+'2014 ByMo'!F26</f>
        <v>22992.850000000002</v>
      </c>
      <c r="H103" s="125">
        <f>+'2014 ByMo'!G26</f>
        <v>32106.78</v>
      </c>
      <c r="I103" s="125">
        <f>+'2014 ByMo'!H26</f>
        <v>33597.889999999992</v>
      </c>
      <c r="J103" s="125">
        <f>+'2014 ByMo'!I26</f>
        <v>33720.639999999992</v>
      </c>
      <c r="K103" s="125">
        <f>+'2014 ByMo'!J26</f>
        <v>32682.28999999999</v>
      </c>
      <c r="L103" s="316">
        <f>+'2014 ByMo'!K26</f>
        <v>32574.35999999999</v>
      </c>
      <c r="M103" s="125">
        <f>+'2014 ByMo'!L26</f>
        <v>32000.149999999987</v>
      </c>
      <c r="N103" s="125">
        <f>+'2014 ByMo'!M26</f>
        <v>29908.169999999987</v>
      </c>
      <c r="O103" s="125">
        <f>+'2014 ByMo'!N26</f>
        <v>28920.459999999985</v>
      </c>
      <c r="P103" s="125">
        <f>+'2014 ByMo'!O26</f>
        <v>28293.219999999987</v>
      </c>
    </row>
    <row r="104" spans="3:16" x14ac:dyDescent="0.35">
      <c r="C104">
        <v>2015</v>
      </c>
      <c r="E104" s="125">
        <f>+'2015 ByMo'!D26</f>
        <v>28293.49</v>
      </c>
      <c r="F104" s="125">
        <f>+'2015 ByMo'!E26</f>
        <v>28165.210000000003</v>
      </c>
      <c r="G104" s="125">
        <f>+'2015 ByMo'!F26</f>
        <v>26607.550000000003</v>
      </c>
      <c r="H104" s="125">
        <f>+'2015 ByMo'!G26</f>
        <v>37348.320000000007</v>
      </c>
      <c r="I104" s="125">
        <f>+'2015 ByMo'!H26</f>
        <v>36299.810000000005</v>
      </c>
      <c r="J104" s="125">
        <f>+'2015 ByMo'!I26</f>
        <v>35592.200000000004</v>
      </c>
      <c r="K104" s="125">
        <f>+'2015 ByMo'!J26</f>
        <v>35063</v>
      </c>
      <c r="L104" s="316">
        <f>+'2015 ByMo'!K26</f>
        <v>33137</v>
      </c>
      <c r="M104" s="125">
        <f>+'2015 ByMo'!L26</f>
        <v>32595.63</v>
      </c>
      <c r="N104" s="125">
        <f>+'2015 ByMo'!M26</f>
        <v>26470.730000000003</v>
      </c>
      <c r="O104" s="125">
        <f>+'2015 ByMo'!N26</f>
        <v>25951.68</v>
      </c>
      <c r="P104" s="125">
        <f>+'2015 ByMo'!O26</f>
        <v>25332.04</v>
      </c>
    </row>
    <row r="105" spans="3:16" x14ac:dyDescent="0.35">
      <c r="C105">
        <v>2016</v>
      </c>
      <c r="E105" s="125">
        <f>+'2016 ByMo'!D27</f>
        <v>13857.230000000003</v>
      </c>
      <c r="F105" s="125">
        <f>+'2016 ByMo'!E27</f>
        <v>13190.530000000002</v>
      </c>
      <c r="G105" s="125">
        <f>+'2016 ByMo'!F27</f>
        <v>17397.750000000004</v>
      </c>
      <c r="H105" s="125">
        <f>+'2016 ByMo'!G27</f>
        <v>23078.600000000002</v>
      </c>
      <c r="I105" s="125">
        <f>+'2016 ByMo'!H27</f>
        <v>23661.850000000002</v>
      </c>
      <c r="J105" s="125">
        <f>+'2016 ByMo'!I27</f>
        <v>23593.770000000004</v>
      </c>
      <c r="K105" s="125">
        <f>+'2016 ByMo'!J27</f>
        <v>22945.120000000003</v>
      </c>
      <c r="L105" s="316">
        <f>+'2016 ByMo'!K27</f>
        <v>22203.530000000002</v>
      </c>
      <c r="M105" s="125">
        <f>+'2016 ByMo'!L27</f>
        <v>21554.880000000001</v>
      </c>
      <c r="N105" s="125">
        <f>+'2016 ByMo'!M27</f>
        <v>20838.02</v>
      </c>
      <c r="O105" s="125">
        <f>+'2016 ByMo'!N27</f>
        <v>20524.690000000002</v>
      </c>
      <c r="P105" s="125">
        <f>+'2016 ByMo'!O27</f>
        <v>19783.100000000002</v>
      </c>
    </row>
    <row r="106" spans="3:16" x14ac:dyDescent="0.35">
      <c r="C106">
        <v>2017</v>
      </c>
      <c r="E106" s="125">
        <f>+'2017 ByMo'!D27</f>
        <v>19154.769999999997</v>
      </c>
      <c r="F106" s="125">
        <f>+'2017 ByMo'!E27</f>
        <v>18783.179999999997</v>
      </c>
      <c r="G106" s="125">
        <f>+'2017 ByMo'!F27</f>
        <v>22614.929999999997</v>
      </c>
      <c r="H106" s="125">
        <f>+'2017 ByMo'!G27</f>
        <v>27101.879999999997</v>
      </c>
      <c r="I106" s="125">
        <f>+'2017 ByMo'!H27</f>
        <v>27220.92</v>
      </c>
      <c r="J106" s="125">
        <f>+'2017 ByMo'!I27</f>
        <v>26831.109999999997</v>
      </c>
      <c r="K106" s="125">
        <f>+'2017 ByMo'!J27</f>
        <v>26181.67</v>
      </c>
      <c r="L106" s="316">
        <f>+'2017 ByMo'!K27</f>
        <v>25367.949999999997</v>
      </c>
      <c r="M106" s="125">
        <f>+'2017 ByMo'!L27</f>
        <v>24728.67</v>
      </c>
      <c r="N106" s="125">
        <f>+'2017 ByMo'!M27</f>
        <v>24676.26</v>
      </c>
      <c r="O106" s="125">
        <f>+'2017 ByMo'!N27</f>
        <v>23444.019999999997</v>
      </c>
      <c r="P106" s="125">
        <f>+'2017 ByMo'!O27</f>
        <v>23160.1</v>
      </c>
    </row>
    <row r="107" spans="3:16" x14ac:dyDescent="0.35">
      <c r="C107">
        <v>2018</v>
      </c>
      <c r="E107" s="125">
        <f>+'2018 ByMo'!D26</f>
        <v>23101.599999999999</v>
      </c>
      <c r="F107" s="125">
        <f>+'2018 ByMo'!E26</f>
        <v>21853.059999999998</v>
      </c>
      <c r="G107" s="125">
        <f>+'2018 ByMo'!F26</f>
        <v>20425.819999999996</v>
      </c>
      <c r="H107" s="125">
        <f>+'2018 ByMo'!G26</f>
        <v>26154.379999999997</v>
      </c>
      <c r="I107" s="125">
        <f>+'2018 ByMo'!H26</f>
        <v>25841.51</v>
      </c>
      <c r="J107" s="125">
        <f>+'2018 ByMo'!I26</f>
        <v>25153.64</v>
      </c>
      <c r="K107" s="125">
        <f>+'2018 ByMo'!J26</f>
        <v>25091.14</v>
      </c>
      <c r="L107" s="316">
        <f>+'2018 ByMo'!K26</f>
        <v>24946.720000000001</v>
      </c>
      <c r="M107" s="125">
        <f>+'2018 ByMo'!L26</f>
        <v>23018.720000000001</v>
      </c>
      <c r="N107" s="125">
        <f>+'2018 ByMo'!M26</f>
        <v>21341.22</v>
      </c>
      <c r="O107" s="125">
        <f>+'2018 ByMo'!N26</f>
        <v>21607.32</v>
      </c>
      <c r="P107" s="125">
        <f>+'2018 ByMo'!O26</f>
        <v>23374.07</v>
      </c>
    </row>
    <row r="108" spans="3:16" x14ac:dyDescent="0.35">
      <c r="C108">
        <v>2019</v>
      </c>
      <c r="E108" s="125">
        <f>+'2019 ByMo'!E26</f>
        <v>22821.07</v>
      </c>
      <c r="F108" s="125">
        <f>+'2019 ByMo'!F26</f>
        <v>22758.57</v>
      </c>
      <c r="G108" s="125">
        <f>+'2019 ByMo'!G26</f>
        <v>31275.57</v>
      </c>
      <c r="H108" s="125">
        <f>+'2019 ByMo'!H26</f>
        <v>34588.07</v>
      </c>
      <c r="I108" s="125">
        <f>+'2019 ByMo'!I26</f>
        <v>34525.57</v>
      </c>
      <c r="J108" s="125">
        <f>+'2019 ByMo'!J26</f>
        <v>31636.32</v>
      </c>
      <c r="K108" s="125">
        <f>+'2019 ByMo'!K26</f>
        <v>31573.82</v>
      </c>
      <c r="L108" s="316">
        <f>+'2019 ByMo'!L26</f>
        <v>31511.32</v>
      </c>
      <c r="M108" s="125">
        <f>+'2019 ByMo'!M26</f>
        <v>29839.989999999998</v>
      </c>
      <c r="N108" s="125">
        <f>+'2019 ByMo'!N26</f>
        <v>22837.829999999998</v>
      </c>
      <c r="O108" s="125">
        <f>+'2019 ByMo'!O26</f>
        <v>19630.059999999998</v>
      </c>
      <c r="P108" s="125">
        <f>+'2019 ByMo'!P26</f>
        <v>17009.909999999996</v>
      </c>
    </row>
    <row r="109" spans="3:16" x14ac:dyDescent="0.35">
      <c r="C109">
        <v>2020</v>
      </c>
      <c r="E109" s="125">
        <f>+'2020 ByMo'!E26</f>
        <v>16354.059999999996</v>
      </c>
      <c r="F109" s="125">
        <f>+'2020 ByMo'!F26</f>
        <v>19623.879999999997</v>
      </c>
      <c r="G109" s="125">
        <f>+'2020 ByMo'!G26</f>
        <v>27238.799999999996</v>
      </c>
      <c r="H109" s="125">
        <f>+'2020 ByMo'!H26</f>
        <v>26485.779999999995</v>
      </c>
      <c r="I109" s="125">
        <f>+'2020 ByMo'!I26</f>
        <v>24990.849999999995</v>
      </c>
      <c r="J109" s="125">
        <f>+'2020 ByMo'!J26</f>
        <v>23037.489999999994</v>
      </c>
      <c r="K109" s="125">
        <f>+'2020 ByMo'!K26</f>
        <v>23050.709999999995</v>
      </c>
      <c r="L109" s="316">
        <f>+'2020 ByMo'!L26</f>
        <v>22069.449999999997</v>
      </c>
      <c r="M109" s="125">
        <f>+'2020 ByMo'!M26</f>
        <v>20729.369999999995</v>
      </c>
      <c r="N109" s="125">
        <f>+'2020 ByMo'!N26</f>
        <v>19761.379999999994</v>
      </c>
      <c r="O109" s="125">
        <f>+'2020 ByMo'!O26</f>
        <v>18742.459999999992</v>
      </c>
      <c r="P109" s="125">
        <f>+'2020 ByMo'!P26</f>
        <v>17748.039999999994</v>
      </c>
    </row>
    <row r="110" spans="3:16" x14ac:dyDescent="0.35">
      <c r="C110">
        <v>2021</v>
      </c>
      <c r="E110" s="125">
        <f>+'2021 ByMo'!E26</f>
        <v>17107.959999999995</v>
      </c>
      <c r="F110" s="125">
        <f>+'2021 ByMo'!F26</f>
        <v>16467.879999999994</v>
      </c>
      <c r="G110" s="125">
        <f>+'2021 ByMo'!G26</f>
        <v>16377.799999999994</v>
      </c>
      <c r="H110" s="125">
        <f>+'2021 ByMo'!H26</f>
        <v>28087.719999999994</v>
      </c>
      <c r="I110" s="125">
        <f>+'2021 ByMo'!I26</f>
        <v>27185.639999999992</v>
      </c>
      <c r="J110" s="125">
        <f>+'2021 ByMo'!J26</f>
        <v>26773.299999999992</v>
      </c>
      <c r="K110" s="125">
        <f>+'2021 ByMo'!K26</f>
        <v>25539.679999999993</v>
      </c>
      <c r="L110" s="125">
        <f>+'2021 ByMo'!L26</f>
        <v>25034.339999999993</v>
      </c>
      <c r="M110" s="125">
        <f>+'2021 ByMo'!M26</f>
        <v>24944.259999999991</v>
      </c>
      <c r="N110" s="125">
        <f>+'2021 ByMo'!N26</f>
        <v>23754.179999999993</v>
      </c>
      <c r="O110" s="125">
        <f>+'2021 ByMo'!O26</f>
        <v>23114.099999999991</v>
      </c>
      <c r="P110" s="125">
        <f>+'2021 ByMo'!P26</f>
        <v>22706.149999999991</v>
      </c>
    </row>
    <row r="111" spans="3:16" x14ac:dyDescent="0.35">
      <c r="C111">
        <v>2022</v>
      </c>
      <c r="E111" s="125">
        <f>+'2022 ByMo'!E25</f>
        <v>21516.07</v>
      </c>
      <c r="F111" s="125">
        <f>+'2022 ByMo'!F25</f>
        <v>20677.989999999998</v>
      </c>
      <c r="G111" s="125">
        <f>+'2022 ByMo'!G25</f>
        <v>19609.899999999998</v>
      </c>
      <c r="H111" s="125">
        <f>+'2022 ByMo'!H25</f>
        <v>28979.819999999996</v>
      </c>
      <c r="I111" s="125">
        <f>+'2022 ByMo'!I25</f>
        <v>30369.739999999998</v>
      </c>
      <c r="J111" s="125">
        <f>+'2022 ByMo'!J25</f>
        <v>29038.46</v>
      </c>
      <c r="K111" s="125">
        <f>+'2022 ByMo'!K25</f>
        <v>27848.379999999997</v>
      </c>
      <c r="L111" s="125">
        <f>+'2022 ByMo'!L25</f>
        <v>28478.299999999996</v>
      </c>
      <c r="M111" s="125">
        <f>+'2022 ByMo'!M25</f>
        <v>27982.919999999995</v>
      </c>
      <c r="N111" s="125">
        <f>+'2022 ByMo'!N25</f>
        <v>26842.839999999997</v>
      </c>
      <c r="O111" s="125">
        <f>+'2022 ByMo'!O25</f>
        <v>26082.759999999995</v>
      </c>
      <c r="P111" s="125">
        <f>+'2022 ByMo'!P25</f>
        <v>24307.169999999995</v>
      </c>
    </row>
    <row r="112" spans="3:16" x14ac:dyDescent="0.35">
      <c r="E112" s="125"/>
      <c r="F112" s="125"/>
      <c r="G112" s="125"/>
      <c r="H112" s="125"/>
      <c r="I112" s="125"/>
      <c r="J112" s="125"/>
      <c r="K112" s="125"/>
      <c r="L112" s="316"/>
      <c r="M112" s="125"/>
      <c r="N112" s="125"/>
      <c r="O112" s="125"/>
      <c r="P112" s="125"/>
    </row>
    <row r="113" spans="2:110" x14ac:dyDescent="0.35">
      <c r="C113" s="109" t="s">
        <v>164</v>
      </c>
      <c r="E113" s="125"/>
      <c r="F113" s="125"/>
      <c r="G113" s="125"/>
      <c r="H113" s="125"/>
      <c r="I113" s="125"/>
      <c r="J113" s="125"/>
      <c r="K113" s="125"/>
      <c r="L113" s="316"/>
      <c r="M113" s="125"/>
      <c r="N113" s="125"/>
      <c r="O113" s="125"/>
      <c r="P113" s="125"/>
    </row>
    <row r="114" spans="2:110" x14ac:dyDescent="0.35">
      <c r="C114" s="388">
        <v>41669</v>
      </c>
      <c r="D114" s="388">
        <v>41698</v>
      </c>
      <c r="E114" s="388">
        <v>41729</v>
      </c>
      <c r="F114" s="388">
        <v>41759</v>
      </c>
      <c r="G114" s="388">
        <v>41790</v>
      </c>
      <c r="H114" s="388">
        <v>41820</v>
      </c>
      <c r="I114" s="388">
        <v>41851</v>
      </c>
      <c r="J114" s="388">
        <v>41882</v>
      </c>
      <c r="K114" s="388">
        <v>41912</v>
      </c>
      <c r="L114" s="388">
        <v>41943</v>
      </c>
      <c r="M114" s="388">
        <v>41973</v>
      </c>
      <c r="N114" s="388">
        <v>42004</v>
      </c>
      <c r="O114" s="388">
        <v>42035</v>
      </c>
      <c r="P114" s="388">
        <v>42063</v>
      </c>
      <c r="Q114" s="388">
        <v>42094</v>
      </c>
      <c r="R114" s="388">
        <v>42124</v>
      </c>
      <c r="S114" s="388">
        <v>42155</v>
      </c>
      <c r="T114" s="388">
        <v>42185</v>
      </c>
      <c r="U114" s="388">
        <v>42216</v>
      </c>
      <c r="V114" s="388">
        <v>42247</v>
      </c>
      <c r="W114" s="388">
        <v>42277</v>
      </c>
      <c r="X114" s="388">
        <v>42308</v>
      </c>
      <c r="Y114" s="388">
        <v>42338</v>
      </c>
      <c r="Z114" s="388">
        <v>42369</v>
      </c>
      <c r="AA114" s="388">
        <v>42400</v>
      </c>
      <c r="AB114" s="388">
        <v>42428</v>
      </c>
      <c r="AC114" s="388">
        <v>42460</v>
      </c>
      <c r="AD114" s="388">
        <v>42490</v>
      </c>
      <c r="AE114" s="388">
        <v>42521</v>
      </c>
      <c r="AF114" s="388">
        <v>42551</v>
      </c>
      <c r="AG114" s="388">
        <v>42582</v>
      </c>
      <c r="AH114" s="388">
        <v>42613</v>
      </c>
      <c r="AI114" s="388">
        <v>42643</v>
      </c>
      <c r="AJ114" s="388">
        <v>42674</v>
      </c>
      <c r="AK114" s="388">
        <v>42704</v>
      </c>
      <c r="AL114" s="388">
        <v>42735</v>
      </c>
      <c r="AM114" s="388">
        <v>42766</v>
      </c>
      <c r="AN114" s="388">
        <v>42794</v>
      </c>
      <c r="AO114" s="388">
        <v>42825</v>
      </c>
      <c r="AP114" s="388">
        <v>42855</v>
      </c>
      <c r="AQ114" s="388">
        <v>42886</v>
      </c>
      <c r="AR114" s="388">
        <v>42916</v>
      </c>
      <c r="AS114" s="388">
        <v>42947</v>
      </c>
      <c r="AT114" s="388">
        <v>42978</v>
      </c>
      <c r="AU114" s="388">
        <v>43008</v>
      </c>
      <c r="AV114" s="388">
        <v>43039</v>
      </c>
      <c r="AW114" s="388">
        <v>43069</v>
      </c>
      <c r="AX114" s="388">
        <v>43100</v>
      </c>
      <c r="AY114" s="388">
        <v>43131</v>
      </c>
      <c r="AZ114" s="388">
        <v>43159</v>
      </c>
      <c r="BA114" s="388">
        <v>43190</v>
      </c>
      <c r="BB114" s="388">
        <v>43220</v>
      </c>
      <c r="BC114" s="388">
        <v>43251</v>
      </c>
      <c r="BD114" s="388">
        <v>43281</v>
      </c>
      <c r="BE114" s="388">
        <v>43312</v>
      </c>
      <c r="BF114" s="388">
        <v>43343</v>
      </c>
      <c r="BG114" s="388">
        <v>43373</v>
      </c>
      <c r="BH114" s="388">
        <v>43404</v>
      </c>
      <c r="BI114" s="388">
        <v>43434</v>
      </c>
      <c r="BJ114" s="388">
        <v>43465</v>
      </c>
      <c r="BK114" s="388">
        <v>43496</v>
      </c>
      <c r="BL114" s="388">
        <v>43524</v>
      </c>
      <c r="BM114" s="388">
        <v>43555</v>
      </c>
      <c r="BN114" s="388">
        <v>43585</v>
      </c>
      <c r="BO114" s="388">
        <v>43616</v>
      </c>
      <c r="BP114" s="388">
        <v>43646</v>
      </c>
      <c r="BQ114" s="388">
        <v>43677</v>
      </c>
      <c r="BR114" s="388">
        <v>43708</v>
      </c>
      <c r="BS114" s="388">
        <v>43738</v>
      </c>
      <c r="BT114" s="388">
        <v>43769</v>
      </c>
      <c r="BU114" s="388">
        <v>43799</v>
      </c>
      <c r="BV114" s="388">
        <v>43830</v>
      </c>
      <c r="BW114" s="388">
        <v>43861</v>
      </c>
      <c r="BX114" s="388">
        <v>43889</v>
      </c>
      <c r="BY114" s="388">
        <v>43921</v>
      </c>
      <c r="BZ114" s="388">
        <v>43951</v>
      </c>
      <c r="CA114" s="388">
        <v>43982</v>
      </c>
      <c r="CB114" s="388">
        <v>44012</v>
      </c>
      <c r="CC114" s="388">
        <v>44043</v>
      </c>
      <c r="CD114" s="388">
        <v>44074</v>
      </c>
      <c r="CE114" s="388">
        <v>44104</v>
      </c>
      <c r="CF114" s="388">
        <v>44135</v>
      </c>
      <c r="CG114" s="388">
        <v>44165</v>
      </c>
      <c r="CH114" s="388">
        <v>44196</v>
      </c>
      <c r="CI114" s="389">
        <v>44227</v>
      </c>
      <c r="CJ114" s="389">
        <v>44255</v>
      </c>
      <c r="CK114" s="389">
        <v>44286</v>
      </c>
      <c r="CL114" s="389">
        <v>44316</v>
      </c>
      <c r="CM114" s="389">
        <v>44347</v>
      </c>
      <c r="CN114" s="389">
        <v>44377</v>
      </c>
      <c r="CO114" s="389">
        <v>44408</v>
      </c>
      <c r="CP114" s="389">
        <v>44438</v>
      </c>
      <c r="CQ114" s="389">
        <v>44469</v>
      </c>
      <c r="CR114" s="389">
        <v>44500</v>
      </c>
      <c r="CS114" s="389">
        <v>44530</v>
      </c>
      <c r="CT114" s="389">
        <v>44561</v>
      </c>
      <c r="CU114" s="389">
        <v>44592</v>
      </c>
      <c r="CV114" s="389">
        <v>44620</v>
      </c>
      <c r="CW114" s="389">
        <v>44651</v>
      </c>
      <c r="CX114" s="389">
        <v>44681</v>
      </c>
      <c r="CY114" s="389">
        <v>44712</v>
      </c>
      <c r="CZ114" s="389">
        <v>44742</v>
      </c>
      <c r="DA114" s="389">
        <v>44773</v>
      </c>
      <c r="DB114" s="389">
        <v>44803</v>
      </c>
      <c r="DC114" s="389">
        <v>44834</v>
      </c>
      <c r="DD114" s="389">
        <v>44865</v>
      </c>
      <c r="DE114" s="389">
        <v>44895</v>
      </c>
      <c r="DF114" s="389">
        <v>44926</v>
      </c>
    </row>
    <row r="115" spans="2:110" x14ac:dyDescent="0.35">
      <c r="B115">
        <v>2014</v>
      </c>
      <c r="C115" s="125">
        <f>+E103</f>
        <v>26217.55</v>
      </c>
      <c r="D115" s="125">
        <f t="shared" ref="D115:N115" si="11">+F103</f>
        <v>25610.5</v>
      </c>
      <c r="E115" s="125">
        <f t="shared" si="11"/>
        <v>22992.850000000002</v>
      </c>
      <c r="F115" s="125">
        <f t="shared" si="11"/>
        <v>32106.78</v>
      </c>
      <c r="G115" s="125">
        <f t="shared" si="11"/>
        <v>33597.889999999992</v>
      </c>
      <c r="H115" s="125">
        <f t="shared" si="11"/>
        <v>33720.639999999992</v>
      </c>
      <c r="I115" s="125">
        <f t="shared" si="11"/>
        <v>32682.28999999999</v>
      </c>
      <c r="J115" s="125">
        <f t="shared" si="11"/>
        <v>32574.35999999999</v>
      </c>
      <c r="K115" s="125">
        <f t="shared" si="11"/>
        <v>32000.149999999987</v>
      </c>
      <c r="L115" s="125">
        <f t="shared" si="11"/>
        <v>29908.169999999987</v>
      </c>
      <c r="M115" s="125">
        <f t="shared" si="11"/>
        <v>28920.459999999985</v>
      </c>
      <c r="N115" s="125">
        <f t="shared" si="11"/>
        <v>28293.219999999987</v>
      </c>
      <c r="O115" s="125"/>
    </row>
    <row r="116" spans="2:110" x14ac:dyDescent="0.35">
      <c r="B116">
        <v>2015</v>
      </c>
      <c r="C116" s="125"/>
      <c r="D116" s="125"/>
      <c r="E116" s="125"/>
      <c r="F116" s="125"/>
      <c r="G116" s="125"/>
      <c r="H116" s="125"/>
      <c r="I116" s="125"/>
      <c r="J116" s="125"/>
      <c r="K116" s="125"/>
      <c r="L116" s="125"/>
      <c r="M116" s="125"/>
      <c r="N116" s="125">
        <f>+N115</f>
        <v>28293.219999999987</v>
      </c>
      <c r="O116" s="125">
        <f t="shared" ref="O116:Z116" si="12">+E104</f>
        <v>28293.49</v>
      </c>
      <c r="P116" s="125">
        <f t="shared" si="12"/>
        <v>28165.210000000003</v>
      </c>
      <c r="Q116" s="125">
        <f t="shared" si="12"/>
        <v>26607.550000000003</v>
      </c>
      <c r="R116" s="125">
        <f t="shared" si="12"/>
        <v>37348.320000000007</v>
      </c>
      <c r="S116" s="125">
        <f t="shared" si="12"/>
        <v>36299.810000000005</v>
      </c>
      <c r="T116" s="125">
        <f t="shared" si="12"/>
        <v>35592.200000000004</v>
      </c>
      <c r="U116" s="125">
        <f t="shared" si="12"/>
        <v>35063</v>
      </c>
      <c r="V116" s="125">
        <f t="shared" si="12"/>
        <v>33137</v>
      </c>
      <c r="W116" s="125">
        <f t="shared" si="12"/>
        <v>32595.63</v>
      </c>
      <c r="X116" s="125">
        <f t="shared" si="12"/>
        <v>26470.730000000003</v>
      </c>
      <c r="Y116" s="125">
        <f t="shared" si="12"/>
        <v>25951.68</v>
      </c>
      <c r="Z116" s="125">
        <f t="shared" si="12"/>
        <v>25332.04</v>
      </c>
      <c r="AA116" s="125"/>
      <c r="AB116" s="125"/>
      <c r="AC116" s="125"/>
      <c r="AD116" s="125"/>
      <c r="AE116" s="125"/>
      <c r="AF116" s="125"/>
      <c r="AG116" s="125"/>
      <c r="AH116" s="125"/>
      <c r="AI116" s="125"/>
      <c r="AJ116" s="125"/>
      <c r="AK116" s="125"/>
      <c r="AL116" s="125"/>
      <c r="AM116" s="125"/>
      <c r="AN116" s="125"/>
      <c r="AO116" s="125"/>
      <c r="AP116" s="125"/>
      <c r="AQ116" s="125"/>
      <c r="AR116" s="125"/>
      <c r="AS116" s="125"/>
      <c r="AT116" s="125"/>
      <c r="AU116" s="125"/>
      <c r="AV116" s="125"/>
      <c r="AW116" s="125"/>
      <c r="AX116" s="125"/>
      <c r="AY116" s="125"/>
      <c r="AZ116" s="125"/>
      <c r="BA116" s="125"/>
      <c r="BB116" s="125"/>
      <c r="BC116" s="125"/>
      <c r="BD116" s="125"/>
      <c r="BE116" s="125"/>
      <c r="BF116" s="125"/>
      <c r="BG116" s="125"/>
      <c r="BH116" s="125"/>
      <c r="BI116" s="125"/>
      <c r="BJ116" s="125"/>
      <c r="BK116" s="125"/>
      <c r="BL116" s="125"/>
      <c r="BM116" s="125"/>
      <c r="BN116" s="125"/>
      <c r="BO116" s="125"/>
      <c r="BP116" s="125"/>
      <c r="BQ116" s="125"/>
      <c r="BR116" s="125"/>
      <c r="BS116" s="125"/>
      <c r="BT116" s="125"/>
      <c r="BU116" s="125"/>
      <c r="BV116" s="125"/>
      <c r="BW116" s="125"/>
      <c r="BX116" s="125"/>
      <c r="BY116" s="125"/>
      <c r="BZ116" s="125"/>
      <c r="CA116" s="125"/>
      <c r="CB116" s="125"/>
      <c r="CC116" s="125"/>
      <c r="CD116" s="125"/>
      <c r="CE116" s="125"/>
      <c r="CF116" s="125"/>
      <c r="CG116" s="125"/>
      <c r="CH116" s="125"/>
    </row>
    <row r="117" spans="2:110" x14ac:dyDescent="0.35">
      <c r="B117">
        <v>2016</v>
      </c>
      <c r="C117" s="125"/>
      <c r="D117" s="125"/>
      <c r="E117" s="125"/>
      <c r="F117" s="125"/>
      <c r="G117" s="125"/>
      <c r="H117" s="125"/>
      <c r="I117" s="125"/>
      <c r="J117" s="125"/>
      <c r="K117" s="125"/>
      <c r="L117" s="125"/>
      <c r="M117" s="125"/>
      <c r="N117" s="125"/>
      <c r="O117" s="125"/>
      <c r="P117" s="125"/>
      <c r="Q117" s="125"/>
      <c r="R117" s="125"/>
      <c r="S117" s="125"/>
      <c r="T117" s="125"/>
      <c r="U117" s="125"/>
      <c r="V117" s="125"/>
      <c r="W117" s="125"/>
      <c r="X117" s="125"/>
      <c r="Y117" s="125"/>
      <c r="Z117" s="125">
        <f>+Z116</f>
        <v>25332.04</v>
      </c>
      <c r="AA117" s="125">
        <f t="shared" ref="AA117:AL117" si="13">+E105</f>
        <v>13857.230000000003</v>
      </c>
      <c r="AB117" s="125">
        <f t="shared" si="13"/>
        <v>13190.530000000002</v>
      </c>
      <c r="AC117" s="125">
        <f t="shared" si="13"/>
        <v>17397.750000000004</v>
      </c>
      <c r="AD117" s="125">
        <f t="shared" si="13"/>
        <v>23078.600000000002</v>
      </c>
      <c r="AE117" s="125">
        <f t="shared" si="13"/>
        <v>23661.850000000002</v>
      </c>
      <c r="AF117" s="125">
        <f t="shared" si="13"/>
        <v>23593.770000000004</v>
      </c>
      <c r="AG117" s="125">
        <f t="shared" si="13"/>
        <v>22945.120000000003</v>
      </c>
      <c r="AH117" s="125">
        <f t="shared" si="13"/>
        <v>22203.530000000002</v>
      </c>
      <c r="AI117" s="125">
        <f t="shared" si="13"/>
        <v>21554.880000000001</v>
      </c>
      <c r="AJ117" s="125">
        <f t="shared" si="13"/>
        <v>20838.02</v>
      </c>
      <c r="AK117" s="125">
        <f t="shared" si="13"/>
        <v>20524.690000000002</v>
      </c>
      <c r="AL117" s="125">
        <f t="shared" si="13"/>
        <v>19783.100000000002</v>
      </c>
      <c r="AM117" s="125"/>
      <c r="AN117" s="125"/>
      <c r="AO117" s="125"/>
      <c r="AP117" s="125"/>
      <c r="AQ117" s="125"/>
      <c r="AR117" s="125"/>
      <c r="AS117" s="125"/>
      <c r="AT117" s="125"/>
      <c r="AU117" s="125"/>
      <c r="AV117" s="125"/>
      <c r="AW117" s="125"/>
      <c r="AX117" s="125"/>
      <c r="AY117" s="125"/>
      <c r="AZ117" s="125"/>
      <c r="BA117" s="125"/>
      <c r="BB117" s="125"/>
      <c r="BC117" s="125"/>
      <c r="BD117" s="125"/>
      <c r="BE117" s="125"/>
      <c r="BF117" s="125"/>
      <c r="BG117" s="125"/>
      <c r="BH117" s="125"/>
      <c r="BI117" s="125"/>
      <c r="BJ117" s="125"/>
      <c r="BK117" s="125"/>
      <c r="BL117" s="125"/>
      <c r="BM117" s="125"/>
      <c r="BN117" s="125"/>
      <c r="BO117" s="125"/>
      <c r="BP117" s="125"/>
      <c r="BQ117" s="125"/>
      <c r="BR117" s="125"/>
      <c r="BS117" s="125"/>
      <c r="BT117" s="125"/>
      <c r="BU117" s="125"/>
      <c r="BV117" s="125"/>
      <c r="BW117" s="125"/>
      <c r="BX117" s="125"/>
      <c r="BY117" s="125"/>
      <c r="BZ117" s="125"/>
      <c r="CA117" s="125"/>
      <c r="CB117" s="125"/>
      <c r="CC117" s="125"/>
      <c r="CD117" s="125"/>
      <c r="CE117" s="125"/>
      <c r="CF117" s="125"/>
      <c r="CG117" s="125"/>
      <c r="CH117" s="125"/>
    </row>
    <row r="118" spans="2:110" x14ac:dyDescent="0.35">
      <c r="B118">
        <v>2017</v>
      </c>
      <c r="C118" s="125"/>
      <c r="D118" s="125"/>
      <c r="E118" s="125"/>
      <c r="F118" s="125"/>
      <c r="G118" s="125"/>
      <c r="H118" s="125"/>
      <c r="I118" s="125"/>
      <c r="J118" s="125"/>
      <c r="K118" s="125"/>
      <c r="L118" s="125"/>
      <c r="M118" s="125"/>
      <c r="N118" s="125"/>
      <c r="O118" s="125"/>
      <c r="P118" s="125"/>
      <c r="Q118" s="125"/>
      <c r="R118" s="125"/>
      <c r="S118" s="125"/>
      <c r="T118" s="125"/>
      <c r="U118" s="125"/>
      <c r="V118" s="125"/>
      <c r="W118" s="125"/>
      <c r="X118" s="125"/>
      <c r="Y118" s="125"/>
      <c r="Z118" s="125"/>
      <c r="AA118" s="125"/>
      <c r="AB118" s="125"/>
      <c r="AC118" s="125"/>
      <c r="AD118" s="125"/>
      <c r="AE118" s="125"/>
      <c r="AF118" s="125"/>
      <c r="AG118" s="125"/>
      <c r="AH118" s="125"/>
      <c r="AI118" s="125"/>
      <c r="AJ118" s="125"/>
      <c r="AK118" s="125"/>
      <c r="AL118" s="125">
        <f>+AL117</f>
        <v>19783.100000000002</v>
      </c>
      <c r="AM118" s="125">
        <f t="shared" ref="AM118:AX118" si="14">+E106</f>
        <v>19154.769999999997</v>
      </c>
      <c r="AN118" s="125">
        <f t="shared" si="14"/>
        <v>18783.179999999997</v>
      </c>
      <c r="AO118" s="125">
        <f t="shared" si="14"/>
        <v>22614.929999999997</v>
      </c>
      <c r="AP118" s="125">
        <f t="shared" si="14"/>
        <v>27101.879999999997</v>
      </c>
      <c r="AQ118" s="125">
        <f t="shared" si="14"/>
        <v>27220.92</v>
      </c>
      <c r="AR118" s="125">
        <f t="shared" si="14"/>
        <v>26831.109999999997</v>
      </c>
      <c r="AS118" s="125">
        <f t="shared" si="14"/>
        <v>26181.67</v>
      </c>
      <c r="AT118" s="125">
        <f t="shared" si="14"/>
        <v>25367.949999999997</v>
      </c>
      <c r="AU118" s="125">
        <f t="shared" si="14"/>
        <v>24728.67</v>
      </c>
      <c r="AV118" s="125">
        <f t="shared" si="14"/>
        <v>24676.26</v>
      </c>
      <c r="AW118" s="125">
        <f t="shared" si="14"/>
        <v>23444.019999999997</v>
      </c>
      <c r="AX118" s="125">
        <f t="shared" si="14"/>
        <v>23160.1</v>
      </c>
      <c r="AY118" s="125"/>
      <c r="AZ118" s="125"/>
      <c r="BA118" s="125"/>
      <c r="BB118" s="125"/>
      <c r="BC118" s="125"/>
      <c r="BD118" s="125"/>
      <c r="BE118" s="125"/>
      <c r="BF118" s="125"/>
      <c r="BG118" s="125"/>
      <c r="BH118" s="125"/>
      <c r="BI118" s="125"/>
      <c r="BJ118" s="125"/>
      <c r="BK118" s="125"/>
      <c r="BL118" s="125"/>
      <c r="BM118" s="125"/>
      <c r="BN118" s="125"/>
      <c r="BO118" s="125"/>
      <c r="BP118" s="125"/>
      <c r="BQ118" s="125"/>
      <c r="BR118" s="125"/>
      <c r="BS118" s="125"/>
      <c r="BT118" s="125"/>
      <c r="BU118" s="125"/>
      <c r="BV118" s="125"/>
      <c r="BW118" s="125"/>
      <c r="BX118" s="125"/>
      <c r="BY118" s="125"/>
      <c r="BZ118" s="125"/>
      <c r="CA118" s="125"/>
      <c r="CB118" s="125"/>
      <c r="CC118" s="125"/>
      <c r="CD118" s="125"/>
      <c r="CE118" s="125"/>
      <c r="CF118" s="125"/>
      <c r="CG118" s="125"/>
      <c r="CH118" s="125"/>
    </row>
    <row r="119" spans="2:110" x14ac:dyDescent="0.35">
      <c r="B119">
        <v>2018</v>
      </c>
      <c r="C119" s="125"/>
      <c r="D119" s="125"/>
      <c r="E119" s="125"/>
      <c r="F119" s="125"/>
      <c r="G119" s="125"/>
      <c r="H119" s="125"/>
      <c r="I119" s="125"/>
      <c r="J119" s="125"/>
      <c r="K119" s="125"/>
      <c r="L119" s="125"/>
      <c r="M119" s="125"/>
      <c r="N119" s="125"/>
      <c r="O119" s="125"/>
      <c r="P119" s="125"/>
      <c r="Q119" s="125"/>
      <c r="R119" s="125"/>
      <c r="S119" s="125"/>
      <c r="T119" s="125"/>
      <c r="U119" s="125"/>
      <c r="V119" s="125"/>
      <c r="W119" s="125"/>
      <c r="X119" s="125"/>
      <c r="Y119" s="125"/>
      <c r="Z119" s="125"/>
      <c r="AA119" s="125"/>
      <c r="AB119" s="125"/>
      <c r="AC119" s="125"/>
      <c r="AD119" s="125"/>
      <c r="AE119" s="125"/>
      <c r="AF119" s="125"/>
      <c r="AG119" s="125"/>
      <c r="AH119" s="125"/>
      <c r="AI119" s="125"/>
      <c r="AJ119" s="125"/>
      <c r="AK119" s="125"/>
      <c r="AL119" s="125"/>
      <c r="AM119" s="125"/>
      <c r="AN119" s="125"/>
      <c r="AO119" s="125"/>
      <c r="AP119" s="125"/>
      <c r="AQ119" s="125"/>
      <c r="AR119" s="125"/>
      <c r="AS119" s="125"/>
      <c r="AT119" s="125"/>
      <c r="AU119" s="125"/>
      <c r="AV119" s="125"/>
      <c r="AW119" s="125"/>
      <c r="AX119" s="125">
        <f>+AX118</f>
        <v>23160.1</v>
      </c>
      <c r="AY119" s="125">
        <f t="shared" ref="AY119:BJ119" si="15">+E107</f>
        <v>23101.599999999999</v>
      </c>
      <c r="AZ119" s="125">
        <f t="shared" si="15"/>
        <v>21853.059999999998</v>
      </c>
      <c r="BA119" s="125">
        <f t="shared" si="15"/>
        <v>20425.819999999996</v>
      </c>
      <c r="BB119" s="125">
        <f t="shared" si="15"/>
        <v>26154.379999999997</v>
      </c>
      <c r="BC119" s="125">
        <f t="shared" si="15"/>
        <v>25841.51</v>
      </c>
      <c r="BD119" s="125">
        <f t="shared" si="15"/>
        <v>25153.64</v>
      </c>
      <c r="BE119" s="125">
        <f t="shared" si="15"/>
        <v>25091.14</v>
      </c>
      <c r="BF119" s="125">
        <f t="shared" si="15"/>
        <v>24946.720000000001</v>
      </c>
      <c r="BG119" s="125">
        <f t="shared" si="15"/>
        <v>23018.720000000001</v>
      </c>
      <c r="BH119" s="125">
        <f t="shared" si="15"/>
        <v>21341.22</v>
      </c>
      <c r="BI119" s="125">
        <f t="shared" si="15"/>
        <v>21607.32</v>
      </c>
      <c r="BJ119" s="125">
        <f t="shared" si="15"/>
        <v>23374.07</v>
      </c>
      <c r="BK119" s="125"/>
      <c r="BL119" s="125"/>
      <c r="BM119" s="125"/>
      <c r="BN119" s="125"/>
      <c r="BO119" s="125"/>
      <c r="BP119" s="125"/>
      <c r="BQ119" s="125"/>
      <c r="BR119" s="125"/>
      <c r="BS119" s="125"/>
      <c r="BT119" s="125"/>
      <c r="BU119" s="125"/>
      <c r="BV119" s="125"/>
      <c r="BW119" s="125"/>
      <c r="BX119" s="125"/>
      <c r="BY119" s="125"/>
      <c r="BZ119" s="125"/>
      <c r="CA119" s="125"/>
      <c r="CB119" s="125"/>
      <c r="CC119" s="125"/>
      <c r="CD119" s="125"/>
      <c r="CE119" s="125"/>
      <c r="CF119" s="125"/>
      <c r="CG119" s="125"/>
      <c r="CH119" s="125"/>
    </row>
    <row r="120" spans="2:110" x14ac:dyDescent="0.35">
      <c r="B120">
        <v>2019</v>
      </c>
      <c r="C120" s="125"/>
      <c r="D120" s="125"/>
      <c r="E120" s="125"/>
      <c r="F120" s="125"/>
      <c r="G120" s="125"/>
      <c r="H120" s="125"/>
      <c r="I120" s="125"/>
      <c r="J120" s="125"/>
      <c r="K120" s="125"/>
      <c r="L120" s="125"/>
      <c r="M120" s="125"/>
      <c r="N120" s="125"/>
      <c r="O120" s="125"/>
      <c r="P120" s="125"/>
      <c r="Q120" s="125"/>
      <c r="R120" s="125"/>
      <c r="S120" s="125"/>
      <c r="T120" s="125"/>
      <c r="U120" s="125"/>
      <c r="V120" s="125"/>
      <c r="W120" s="125"/>
      <c r="X120" s="125"/>
      <c r="Y120" s="125"/>
      <c r="Z120" s="125"/>
      <c r="AA120" s="125"/>
      <c r="AB120" s="125"/>
      <c r="AC120" s="125"/>
      <c r="AD120" s="125"/>
      <c r="AE120" s="125"/>
      <c r="AF120" s="125"/>
      <c r="AG120" s="125"/>
      <c r="AH120" s="125"/>
      <c r="AI120" s="125"/>
      <c r="AJ120" s="125"/>
      <c r="AK120" s="125"/>
      <c r="AL120" s="125"/>
      <c r="AM120" s="125"/>
      <c r="AN120" s="125"/>
      <c r="AO120" s="125"/>
      <c r="AP120" s="125"/>
      <c r="AQ120" s="125"/>
      <c r="AR120" s="125"/>
      <c r="AS120" s="125"/>
      <c r="AT120" s="125"/>
      <c r="AU120" s="125"/>
      <c r="AV120" s="125"/>
      <c r="AW120" s="125"/>
      <c r="AX120" s="125"/>
      <c r="AY120" s="125"/>
      <c r="AZ120" s="125"/>
      <c r="BA120" s="125"/>
      <c r="BB120" s="125"/>
      <c r="BC120" s="125"/>
      <c r="BD120" s="125"/>
      <c r="BE120" s="125"/>
      <c r="BF120" s="125"/>
      <c r="BG120" s="125"/>
      <c r="BH120" s="125"/>
      <c r="BI120" s="125"/>
      <c r="BJ120" s="125">
        <f>+BJ119</f>
        <v>23374.07</v>
      </c>
      <c r="BK120" s="125">
        <f t="shared" ref="BK120:BV120" si="16">+E108</f>
        <v>22821.07</v>
      </c>
      <c r="BL120" s="125">
        <f t="shared" si="16"/>
        <v>22758.57</v>
      </c>
      <c r="BM120" s="125">
        <f t="shared" si="16"/>
        <v>31275.57</v>
      </c>
      <c r="BN120" s="125">
        <f t="shared" si="16"/>
        <v>34588.07</v>
      </c>
      <c r="BO120" s="125">
        <f t="shared" si="16"/>
        <v>34525.57</v>
      </c>
      <c r="BP120" s="125">
        <f t="shared" si="16"/>
        <v>31636.32</v>
      </c>
      <c r="BQ120" s="125">
        <f t="shared" si="16"/>
        <v>31573.82</v>
      </c>
      <c r="BR120" s="125">
        <f t="shared" si="16"/>
        <v>31511.32</v>
      </c>
      <c r="BS120" s="125">
        <f t="shared" si="16"/>
        <v>29839.989999999998</v>
      </c>
      <c r="BT120" s="125">
        <f t="shared" si="16"/>
        <v>22837.829999999998</v>
      </c>
      <c r="BU120" s="125">
        <f t="shared" si="16"/>
        <v>19630.059999999998</v>
      </c>
      <c r="BV120" s="125">
        <f t="shared" si="16"/>
        <v>17009.909999999996</v>
      </c>
      <c r="BW120" s="125"/>
      <c r="BX120" s="125"/>
      <c r="BY120" s="125"/>
      <c r="BZ120" s="125"/>
      <c r="CA120" s="125"/>
      <c r="CB120" s="125"/>
      <c r="CC120" s="125"/>
      <c r="CD120" s="125"/>
      <c r="CE120" s="125"/>
      <c r="CF120" s="125"/>
      <c r="CG120" s="125"/>
      <c r="CH120" s="125"/>
    </row>
    <row r="121" spans="2:110" x14ac:dyDescent="0.35">
      <c r="B121">
        <v>2020</v>
      </c>
      <c r="C121" s="125"/>
      <c r="D121" s="125"/>
      <c r="E121" s="125"/>
      <c r="F121" s="125"/>
      <c r="G121" s="125"/>
      <c r="H121" s="125"/>
      <c r="I121" s="125"/>
      <c r="J121" s="125"/>
      <c r="K121" s="125"/>
      <c r="L121" s="125"/>
      <c r="M121" s="125"/>
      <c r="N121" s="125"/>
      <c r="O121" s="125"/>
      <c r="P121" s="125"/>
      <c r="Q121" s="125"/>
      <c r="R121" s="125"/>
      <c r="S121" s="125"/>
      <c r="T121" s="125"/>
      <c r="U121" s="125"/>
      <c r="V121" s="125"/>
      <c r="W121" s="125"/>
      <c r="X121" s="125"/>
      <c r="Y121" s="125"/>
      <c r="Z121" s="125"/>
      <c r="AA121" s="125"/>
      <c r="AB121" s="125"/>
      <c r="AC121" s="125"/>
      <c r="AD121" s="125"/>
      <c r="AE121" s="125"/>
      <c r="AF121" s="125"/>
      <c r="AG121" s="125"/>
      <c r="AH121" s="125"/>
      <c r="AI121" s="125"/>
      <c r="AJ121" s="125"/>
      <c r="AK121" s="125"/>
      <c r="AL121" s="125"/>
      <c r="AM121" s="125"/>
      <c r="AN121" s="125"/>
      <c r="AO121" s="125"/>
      <c r="AP121" s="125"/>
      <c r="AQ121" s="125"/>
      <c r="AR121" s="125"/>
      <c r="AS121" s="125"/>
      <c r="AT121" s="125"/>
      <c r="AU121" s="125"/>
      <c r="AV121" s="125"/>
      <c r="AW121" s="125"/>
      <c r="AX121" s="125"/>
      <c r="AY121" s="125"/>
      <c r="AZ121" s="125"/>
      <c r="BA121" s="125"/>
      <c r="BB121" s="125"/>
      <c r="BC121" s="125"/>
      <c r="BD121" s="125"/>
      <c r="BE121" s="125"/>
      <c r="BF121" s="125"/>
      <c r="BG121" s="125"/>
      <c r="BH121" s="125"/>
      <c r="BI121" s="125"/>
      <c r="BJ121" s="125"/>
      <c r="BK121" s="125"/>
      <c r="BL121" s="125"/>
      <c r="BM121" s="125"/>
      <c r="BN121" s="125"/>
      <c r="BO121" s="125"/>
      <c r="BP121" s="125"/>
      <c r="BQ121" s="125"/>
      <c r="BR121" s="125"/>
      <c r="BS121" s="125"/>
      <c r="BT121" s="125"/>
      <c r="BU121" s="125"/>
      <c r="BV121" s="125">
        <f>+BV120</f>
        <v>17009.909999999996</v>
      </c>
      <c r="BW121" s="125">
        <f t="shared" ref="BW121:CH121" si="17">+E109</f>
        <v>16354.059999999996</v>
      </c>
      <c r="BX121" s="125">
        <f t="shared" si="17"/>
        <v>19623.879999999997</v>
      </c>
      <c r="BY121" s="125">
        <f t="shared" si="17"/>
        <v>27238.799999999996</v>
      </c>
      <c r="BZ121" s="125">
        <f t="shared" si="17"/>
        <v>26485.779999999995</v>
      </c>
      <c r="CA121" s="125">
        <f t="shared" si="17"/>
        <v>24990.849999999995</v>
      </c>
      <c r="CB121" s="125">
        <f t="shared" si="17"/>
        <v>23037.489999999994</v>
      </c>
      <c r="CC121" s="125">
        <f t="shared" si="17"/>
        <v>23050.709999999995</v>
      </c>
      <c r="CD121" s="125">
        <f t="shared" si="17"/>
        <v>22069.449999999997</v>
      </c>
      <c r="CE121" s="125">
        <f t="shared" si="17"/>
        <v>20729.369999999995</v>
      </c>
      <c r="CF121" s="125">
        <f t="shared" si="17"/>
        <v>19761.379999999994</v>
      </c>
      <c r="CG121" s="125">
        <f t="shared" si="17"/>
        <v>18742.459999999992</v>
      </c>
      <c r="CH121" s="125">
        <f t="shared" si="17"/>
        <v>17748.039999999994</v>
      </c>
      <c r="CI121" s="125"/>
    </row>
    <row r="122" spans="2:110" x14ac:dyDescent="0.35">
      <c r="B122">
        <v>2021</v>
      </c>
      <c r="C122" s="125"/>
      <c r="D122" s="125"/>
      <c r="E122" s="125"/>
      <c r="F122" s="125"/>
      <c r="G122" s="125"/>
      <c r="H122" s="125"/>
      <c r="I122" s="125"/>
      <c r="J122" s="125"/>
      <c r="K122" s="125"/>
      <c r="L122" s="125"/>
      <c r="M122" s="125"/>
      <c r="N122" s="125"/>
      <c r="O122" s="125"/>
      <c r="P122" s="125"/>
      <c r="Q122" s="125"/>
      <c r="R122" s="125"/>
      <c r="S122" s="125"/>
      <c r="T122" s="125"/>
      <c r="U122" s="125"/>
      <c r="V122" s="125"/>
      <c r="W122" s="125"/>
      <c r="X122" s="125"/>
      <c r="Y122" s="125"/>
      <c r="Z122" s="125"/>
      <c r="AA122" s="125"/>
      <c r="AB122" s="125"/>
      <c r="AC122" s="125"/>
      <c r="AD122" s="125"/>
      <c r="AE122" s="125"/>
      <c r="AF122" s="125"/>
      <c r="AG122" s="125"/>
      <c r="AH122" s="125"/>
      <c r="AI122" s="125"/>
      <c r="AJ122" s="125"/>
      <c r="AK122" s="125"/>
      <c r="AL122" s="125"/>
      <c r="AM122" s="125"/>
      <c r="AN122" s="125"/>
      <c r="AO122" s="125"/>
      <c r="AP122" s="125"/>
      <c r="AQ122" s="125"/>
      <c r="AR122" s="125"/>
      <c r="AS122" s="125"/>
      <c r="AT122" s="125"/>
      <c r="AU122" s="125"/>
      <c r="AV122" s="125"/>
      <c r="AW122" s="125"/>
      <c r="AX122" s="125"/>
      <c r="AY122" s="125"/>
      <c r="AZ122" s="125"/>
      <c r="BA122" s="125"/>
      <c r="BB122" s="125"/>
      <c r="BC122" s="125"/>
      <c r="BD122" s="125"/>
      <c r="BE122" s="125"/>
      <c r="BF122" s="125"/>
      <c r="BG122" s="125"/>
      <c r="BH122" s="125"/>
      <c r="BI122" s="125"/>
      <c r="BJ122" s="125"/>
      <c r="BK122" s="125"/>
      <c r="BL122" s="125"/>
      <c r="BM122" s="125"/>
      <c r="BN122" s="125"/>
      <c r="BO122" s="125"/>
      <c r="BP122" s="125"/>
      <c r="BQ122" s="125"/>
      <c r="BR122" s="125"/>
      <c r="BS122" s="125"/>
      <c r="BT122" s="125"/>
      <c r="BU122" s="125"/>
      <c r="BV122" s="125"/>
      <c r="BW122" s="125"/>
      <c r="BX122" s="125"/>
      <c r="BY122" s="125"/>
      <c r="BZ122" s="125"/>
      <c r="CA122" s="125"/>
      <c r="CB122" s="125"/>
      <c r="CC122" s="125"/>
      <c r="CD122" s="125"/>
      <c r="CE122" s="125"/>
      <c r="CF122" s="125"/>
      <c r="CG122" s="125"/>
      <c r="CH122" s="125">
        <f>+CH121</f>
        <v>17748.039999999994</v>
      </c>
      <c r="CI122" s="125">
        <f>+E110</f>
        <v>17107.959999999995</v>
      </c>
      <c r="CJ122" s="125">
        <f t="shared" ref="CJ122:CP122" si="18">+F110</f>
        <v>16467.879999999994</v>
      </c>
      <c r="CK122" s="125">
        <f t="shared" si="18"/>
        <v>16377.799999999994</v>
      </c>
      <c r="CL122" s="125">
        <f t="shared" si="18"/>
        <v>28087.719999999994</v>
      </c>
      <c r="CM122" s="125">
        <f t="shared" si="18"/>
        <v>27185.639999999992</v>
      </c>
      <c r="CN122" s="125">
        <f t="shared" si="18"/>
        <v>26773.299999999992</v>
      </c>
      <c r="CO122" s="125">
        <f t="shared" si="18"/>
        <v>25539.679999999993</v>
      </c>
      <c r="CP122" s="125">
        <f t="shared" si="18"/>
        <v>25034.339999999993</v>
      </c>
      <c r="CQ122" s="125">
        <f t="shared" ref="CQ122" si="19">+M110</f>
        <v>24944.259999999991</v>
      </c>
      <c r="CR122" s="125">
        <f t="shared" ref="CR122" si="20">+N110</f>
        <v>23754.179999999993</v>
      </c>
      <c r="CS122" s="125">
        <f t="shared" ref="CS122" si="21">+O110</f>
        <v>23114.099999999991</v>
      </c>
      <c r="CT122" s="125">
        <f t="shared" ref="CT122" si="22">+P110</f>
        <v>22706.149999999991</v>
      </c>
    </row>
    <row r="123" spans="2:110" x14ac:dyDescent="0.35">
      <c r="B123">
        <v>2022</v>
      </c>
      <c r="C123" s="125"/>
      <c r="D123" s="125"/>
      <c r="E123" s="125"/>
      <c r="F123" s="125"/>
      <c r="G123" s="125"/>
      <c r="H123" s="125"/>
      <c r="I123" s="125"/>
      <c r="J123" s="125"/>
      <c r="K123" s="125"/>
      <c r="L123" s="125"/>
      <c r="M123" s="125"/>
      <c r="N123" s="125"/>
      <c r="O123" s="125"/>
      <c r="P123" s="125"/>
      <c r="Q123" s="125"/>
      <c r="R123" s="125"/>
      <c r="S123" s="125"/>
      <c r="T123" s="125"/>
      <c r="U123" s="125"/>
      <c r="V123" s="125"/>
      <c r="W123" s="125"/>
      <c r="X123" s="125"/>
      <c r="Y123" s="125"/>
      <c r="Z123" s="125"/>
      <c r="AA123" s="125"/>
      <c r="AB123" s="125"/>
      <c r="AC123" s="125"/>
      <c r="AD123" s="125"/>
      <c r="AE123" s="125"/>
      <c r="AF123" s="125"/>
      <c r="AG123" s="125"/>
      <c r="AH123" s="125"/>
      <c r="AI123" s="125"/>
      <c r="AJ123" s="125"/>
      <c r="AK123" s="125"/>
      <c r="AL123" s="125"/>
      <c r="AM123" s="125"/>
      <c r="AN123" s="125"/>
      <c r="AO123" s="125"/>
      <c r="AP123" s="125"/>
      <c r="AQ123" s="125"/>
      <c r="AR123" s="125"/>
      <c r="AS123" s="125"/>
      <c r="AT123" s="125"/>
      <c r="AU123" s="125"/>
      <c r="AV123" s="125"/>
      <c r="AW123" s="125"/>
      <c r="AX123" s="125"/>
      <c r="AY123" s="125"/>
      <c r="AZ123" s="125"/>
      <c r="BA123" s="125"/>
      <c r="BB123" s="125"/>
      <c r="BC123" s="125"/>
      <c r="BD123" s="125"/>
      <c r="BE123" s="125"/>
      <c r="BF123" s="125"/>
      <c r="BG123" s="125"/>
      <c r="BH123" s="125"/>
      <c r="BI123" s="125"/>
      <c r="BJ123" s="125"/>
      <c r="BK123" s="125"/>
      <c r="BL123" s="125"/>
      <c r="BM123" s="125"/>
      <c r="BN123" s="125"/>
      <c r="BO123" s="125"/>
      <c r="BP123" s="125"/>
      <c r="BQ123" s="125"/>
      <c r="BR123" s="125"/>
      <c r="BS123" s="125"/>
      <c r="BT123" s="125"/>
      <c r="BU123" s="125"/>
      <c r="BV123" s="125"/>
      <c r="BW123" s="125"/>
      <c r="BX123" s="125"/>
      <c r="BY123" s="125"/>
      <c r="BZ123" s="125"/>
      <c r="CA123" s="125"/>
      <c r="CB123" s="125"/>
      <c r="CC123" s="125"/>
      <c r="CD123" s="125"/>
      <c r="CE123" s="125"/>
      <c r="CF123" s="125"/>
      <c r="CG123" s="125"/>
      <c r="CH123" s="125"/>
      <c r="CT123" s="125">
        <f>+CT122</f>
        <v>22706.149999999991</v>
      </c>
      <c r="CU123" s="125">
        <f>+E111</f>
        <v>21516.07</v>
      </c>
      <c r="CV123" s="125">
        <f t="shared" ref="CV123:DF123" si="23">+F111</f>
        <v>20677.989999999998</v>
      </c>
      <c r="CW123" s="125">
        <f t="shared" si="23"/>
        <v>19609.899999999998</v>
      </c>
      <c r="CX123" s="125">
        <f t="shared" si="23"/>
        <v>28979.819999999996</v>
      </c>
      <c r="CY123" s="125">
        <f t="shared" si="23"/>
        <v>30369.739999999998</v>
      </c>
      <c r="CZ123" s="125">
        <f t="shared" si="23"/>
        <v>29038.46</v>
      </c>
      <c r="DA123" s="125">
        <f t="shared" si="23"/>
        <v>27848.379999999997</v>
      </c>
      <c r="DB123" s="125">
        <f t="shared" si="23"/>
        <v>28478.299999999996</v>
      </c>
      <c r="DC123" s="125">
        <f t="shared" si="23"/>
        <v>27982.919999999995</v>
      </c>
      <c r="DD123" s="125">
        <f t="shared" si="23"/>
        <v>26842.839999999997</v>
      </c>
      <c r="DE123" s="125">
        <f t="shared" si="23"/>
        <v>26082.759999999995</v>
      </c>
      <c r="DF123" s="125">
        <f t="shared" si="23"/>
        <v>24307.169999999995</v>
      </c>
    </row>
    <row r="124" spans="2:110" x14ac:dyDescent="0.35">
      <c r="B124" s="115" t="s">
        <v>380</v>
      </c>
      <c r="C124" s="125"/>
      <c r="D124" s="125"/>
      <c r="E124" s="125"/>
      <c r="F124" s="125"/>
      <c r="G124" s="125"/>
      <c r="H124" s="125"/>
      <c r="I124" s="125"/>
      <c r="J124" s="125"/>
      <c r="K124" s="125"/>
      <c r="L124" s="125"/>
      <c r="M124" s="125"/>
      <c r="N124" s="125"/>
      <c r="O124" s="125"/>
      <c r="P124" s="125"/>
      <c r="Q124" s="125"/>
      <c r="R124" s="125"/>
      <c r="S124" s="125"/>
      <c r="T124" s="125"/>
      <c r="U124" s="125"/>
      <c r="V124" s="125"/>
      <c r="W124" s="125"/>
      <c r="X124" s="125"/>
      <c r="Y124" s="125"/>
      <c r="Z124" s="125"/>
      <c r="AA124" s="125">
        <f t="shared" ref="AA124:AJ124" si="24">+AB124-80.5</f>
        <v>7081.1666666666661</v>
      </c>
      <c r="AB124" s="125">
        <f t="shared" si="24"/>
        <v>7161.6666666666661</v>
      </c>
      <c r="AC124" s="125">
        <f t="shared" si="24"/>
        <v>7242.1666666666661</v>
      </c>
      <c r="AD124" s="125">
        <f t="shared" si="24"/>
        <v>7322.6666666666661</v>
      </c>
      <c r="AE124" s="125">
        <f t="shared" si="24"/>
        <v>7403.1666666666661</v>
      </c>
      <c r="AF124" s="125">
        <f t="shared" si="24"/>
        <v>7483.6666666666661</v>
      </c>
      <c r="AG124" s="125">
        <f t="shared" si="24"/>
        <v>7564.1666666666661</v>
      </c>
      <c r="AH124" s="125">
        <f t="shared" si="24"/>
        <v>7644.6666666666661</v>
      </c>
      <c r="AI124" s="125">
        <f t="shared" si="24"/>
        <v>7725.1666666666661</v>
      </c>
      <c r="AJ124" s="125">
        <f t="shared" si="24"/>
        <v>7805.6666666666661</v>
      </c>
      <c r="AK124" s="125">
        <f>+AL124-80.5</f>
        <v>7886.1666666666661</v>
      </c>
      <c r="AL124" s="125">
        <f>+'ReprRepl Reserve'!$L23+3000</f>
        <v>7966.6666666666661</v>
      </c>
      <c r="AM124" s="125">
        <f>+AL124+80.5</f>
        <v>8047.1666666666661</v>
      </c>
      <c r="AN124" s="125">
        <f t="shared" ref="AN124:AW124" si="25">+AM124+80.5</f>
        <v>8127.6666666666661</v>
      </c>
      <c r="AO124" s="125">
        <f t="shared" si="25"/>
        <v>8208.1666666666661</v>
      </c>
      <c r="AP124" s="125">
        <f t="shared" si="25"/>
        <v>8288.6666666666661</v>
      </c>
      <c r="AQ124" s="125">
        <f t="shared" si="25"/>
        <v>8369.1666666666661</v>
      </c>
      <c r="AR124" s="125">
        <f t="shared" si="25"/>
        <v>8449.6666666666661</v>
      </c>
      <c r="AS124" s="125">
        <f t="shared" si="25"/>
        <v>8530.1666666666661</v>
      </c>
      <c r="AT124" s="125">
        <f t="shared" si="25"/>
        <v>8610.6666666666661</v>
      </c>
      <c r="AU124" s="125">
        <f t="shared" si="25"/>
        <v>8691.1666666666661</v>
      </c>
      <c r="AV124" s="125">
        <f t="shared" si="25"/>
        <v>8771.6666666666661</v>
      </c>
      <c r="AW124" s="125">
        <f t="shared" si="25"/>
        <v>8852.1666666666661</v>
      </c>
      <c r="AX124" s="125">
        <f>+'ReprRepl Reserve'!$L24+3000</f>
        <v>8933.3333333333321</v>
      </c>
      <c r="AY124" s="125">
        <f>+AX124+80.6</f>
        <v>9013.9333333333325</v>
      </c>
      <c r="AZ124" s="125">
        <f t="shared" ref="AZ124:BI124" si="26">+AY124+80.6</f>
        <v>9094.5333333333328</v>
      </c>
      <c r="BA124" s="125">
        <f t="shared" si="26"/>
        <v>9175.1333333333332</v>
      </c>
      <c r="BB124" s="125">
        <f t="shared" si="26"/>
        <v>9255.7333333333336</v>
      </c>
      <c r="BC124" s="125">
        <f t="shared" si="26"/>
        <v>9336.3333333333339</v>
      </c>
      <c r="BD124" s="125">
        <f t="shared" si="26"/>
        <v>9416.9333333333343</v>
      </c>
      <c r="BE124" s="125">
        <f t="shared" si="26"/>
        <v>9497.5333333333347</v>
      </c>
      <c r="BF124" s="125">
        <f t="shared" si="26"/>
        <v>9578.133333333335</v>
      </c>
      <c r="BG124" s="125">
        <f t="shared" si="26"/>
        <v>9658.7333333333354</v>
      </c>
      <c r="BH124" s="125">
        <f t="shared" si="26"/>
        <v>9739.3333333333358</v>
      </c>
      <c r="BI124" s="125">
        <f t="shared" si="26"/>
        <v>9819.9333333333361</v>
      </c>
      <c r="BJ124" s="125">
        <f>+'ReprRepl Reserve'!$L25+3000</f>
        <v>9900</v>
      </c>
      <c r="BK124" s="125">
        <f>+BJ124+80.6</f>
        <v>9980.6</v>
      </c>
      <c r="BL124" s="125">
        <f t="shared" ref="BL124:BU124" si="27">+BK124+80.6</f>
        <v>10061.200000000001</v>
      </c>
      <c r="BM124" s="125">
        <f t="shared" si="27"/>
        <v>10141.800000000001</v>
      </c>
      <c r="BN124" s="125">
        <f t="shared" si="27"/>
        <v>10222.400000000001</v>
      </c>
      <c r="BO124" s="125">
        <f t="shared" si="27"/>
        <v>10303.000000000002</v>
      </c>
      <c r="BP124" s="125">
        <f t="shared" si="27"/>
        <v>10383.600000000002</v>
      </c>
      <c r="BQ124" s="125">
        <f t="shared" si="27"/>
        <v>10464.200000000003</v>
      </c>
      <c r="BR124" s="125">
        <f t="shared" si="27"/>
        <v>10544.800000000003</v>
      </c>
      <c r="BS124" s="125">
        <f t="shared" si="27"/>
        <v>10625.400000000003</v>
      </c>
      <c r="BT124" s="125">
        <f t="shared" si="27"/>
        <v>10706.000000000004</v>
      </c>
      <c r="BU124" s="125">
        <f t="shared" si="27"/>
        <v>10786.600000000004</v>
      </c>
      <c r="BV124" s="125">
        <f>+'ReprRepl Reserve'!$L26+3000</f>
        <v>10866.666666666668</v>
      </c>
      <c r="BW124" s="125">
        <f>+BV124+80.5</f>
        <v>10947.166666666668</v>
      </c>
      <c r="BX124" s="125">
        <f t="shared" ref="BX124:CG124" si="28">+BW124+80.5</f>
        <v>11027.666666666668</v>
      </c>
      <c r="BY124" s="125">
        <f t="shared" si="28"/>
        <v>11108.166666666668</v>
      </c>
      <c r="BZ124" s="125">
        <f t="shared" si="28"/>
        <v>11188.666666666668</v>
      </c>
      <c r="CA124" s="125">
        <f t="shared" si="28"/>
        <v>11269.166666666668</v>
      </c>
      <c r="CB124" s="125">
        <f t="shared" si="28"/>
        <v>11349.666666666668</v>
      </c>
      <c r="CC124" s="125">
        <f t="shared" si="28"/>
        <v>11430.166666666668</v>
      </c>
      <c r="CD124" s="125">
        <f t="shared" si="28"/>
        <v>11510.666666666668</v>
      </c>
      <c r="CE124" s="125">
        <f t="shared" si="28"/>
        <v>11591.166666666668</v>
      </c>
      <c r="CF124" s="125">
        <f t="shared" si="28"/>
        <v>11671.666666666668</v>
      </c>
      <c r="CG124" s="125">
        <f t="shared" si="28"/>
        <v>11752.166666666668</v>
      </c>
      <c r="CH124" s="125">
        <f>+'ReprRepl Reserve'!$L27+3000</f>
        <v>11833.333333333334</v>
      </c>
      <c r="CI124" s="125">
        <f>+CH124+80.6</f>
        <v>11913.933333333334</v>
      </c>
      <c r="CJ124" s="125">
        <f t="shared" ref="CJ124:CS124" si="29">+CI124+80.6</f>
        <v>11994.533333333335</v>
      </c>
      <c r="CK124" s="125">
        <f t="shared" si="29"/>
        <v>12075.133333333335</v>
      </c>
      <c r="CL124" s="125">
        <f t="shared" si="29"/>
        <v>12155.733333333335</v>
      </c>
      <c r="CM124" s="125">
        <f t="shared" si="29"/>
        <v>12236.333333333336</v>
      </c>
      <c r="CN124" s="125">
        <f t="shared" si="29"/>
        <v>12316.933333333336</v>
      </c>
      <c r="CO124" s="125">
        <f t="shared" si="29"/>
        <v>12397.533333333336</v>
      </c>
      <c r="CP124" s="125">
        <f t="shared" si="29"/>
        <v>12478.133333333337</v>
      </c>
      <c r="CQ124" s="125">
        <f t="shared" si="29"/>
        <v>12558.733333333337</v>
      </c>
      <c r="CR124" s="125">
        <f t="shared" si="29"/>
        <v>12639.333333333338</v>
      </c>
      <c r="CS124" s="125">
        <f t="shared" si="29"/>
        <v>12719.933333333338</v>
      </c>
      <c r="CT124" s="125">
        <f>+'ReprRepl Reserve'!$L28+3000</f>
        <v>12800</v>
      </c>
      <c r="CU124" s="125">
        <f t="shared" ref="CU124" si="30">+CT124+80.6</f>
        <v>12880.6</v>
      </c>
      <c r="CV124" s="125">
        <f t="shared" ref="CV124" si="31">+CU124+80.6</f>
        <v>12961.2</v>
      </c>
      <c r="CW124" s="125">
        <f t="shared" ref="CW124" si="32">+CV124+80.6</f>
        <v>13041.800000000001</v>
      </c>
      <c r="CX124" s="125">
        <f t="shared" ref="CX124" si="33">+CW124+80.6</f>
        <v>13122.400000000001</v>
      </c>
      <c r="CY124" s="125">
        <f t="shared" ref="CY124" si="34">+CX124+80.6</f>
        <v>13203.000000000002</v>
      </c>
      <c r="CZ124" s="125">
        <f t="shared" ref="CZ124" si="35">+CY124+80.6</f>
        <v>13283.600000000002</v>
      </c>
      <c r="DA124" s="125">
        <f t="shared" ref="DA124" si="36">+CZ124+80.6</f>
        <v>13364.200000000003</v>
      </c>
      <c r="DB124" s="125">
        <f t="shared" ref="DB124" si="37">+DA124+80.6</f>
        <v>13444.800000000003</v>
      </c>
      <c r="DC124" s="125">
        <f t="shared" ref="DC124" si="38">+DB124+80.6</f>
        <v>13525.400000000003</v>
      </c>
      <c r="DD124" s="125">
        <f t="shared" ref="DD124" si="39">+DC124+80.6</f>
        <v>13606.000000000004</v>
      </c>
      <c r="DE124" s="125">
        <f t="shared" ref="DE124" si="40">+DD124+80.6</f>
        <v>13686.600000000004</v>
      </c>
      <c r="DF124" s="125">
        <f t="shared" ref="DF124" si="41">+DE124+80.6</f>
        <v>13767.200000000004</v>
      </c>
    </row>
    <row r="125" spans="2:110" x14ac:dyDescent="0.35">
      <c r="C125" s="125"/>
      <c r="D125" s="125"/>
      <c r="E125" s="125"/>
      <c r="F125" s="125"/>
      <c r="G125" s="125"/>
      <c r="H125" s="125"/>
      <c r="I125" s="125"/>
      <c r="J125" s="125"/>
      <c r="K125" s="125"/>
      <c r="L125" s="125"/>
      <c r="M125" s="125"/>
      <c r="N125" s="125"/>
      <c r="O125" s="125"/>
      <c r="P125" s="125"/>
      <c r="Q125" s="125"/>
      <c r="R125" s="125"/>
      <c r="S125" s="125"/>
      <c r="T125" s="125"/>
      <c r="U125" s="125"/>
      <c r="V125" s="125"/>
      <c r="W125" s="125"/>
      <c r="X125" s="125"/>
      <c r="Y125" s="125"/>
      <c r="Z125" s="125"/>
      <c r="AA125" s="125"/>
      <c r="AB125" s="125"/>
      <c r="AC125" s="125"/>
      <c r="AD125" s="125"/>
      <c r="AE125" s="125"/>
      <c r="AF125" s="125"/>
      <c r="AG125" s="125"/>
      <c r="AH125" s="125"/>
      <c r="AI125" s="125"/>
      <c r="AJ125" s="125"/>
      <c r="AK125" s="125"/>
      <c r="AL125" s="125"/>
      <c r="AM125" s="125"/>
      <c r="AN125" s="125"/>
      <c r="AO125" s="125"/>
      <c r="AP125" s="125"/>
      <c r="AQ125" s="125"/>
      <c r="AR125" s="125"/>
      <c r="AS125" s="125"/>
      <c r="AT125" s="125"/>
      <c r="AU125" s="125"/>
      <c r="AV125" s="125"/>
      <c r="AW125" s="125"/>
      <c r="AX125" s="125"/>
      <c r="AY125" s="125"/>
      <c r="AZ125" s="125"/>
      <c r="BA125" s="125"/>
      <c r="BB125" s="125"/>
      <c r="BC125" s="125"/>
      <c r="BD125" s="125"/>
      <c r="BE125" s="125"/>
      <c r="BF125" s="125"/>
      <c r="BG125" s="125"/>
      <c r="BH125" s="125"/>
      <c r="BI125" s="125"/>
      <c r="BJ125" s="125"/>
      <c r="BK125" s="125"/>
      <c r="BL125" s="125"/>
      <c r="BM125" s="125"/>
      <c r="BN125" s="125"/>
      <c r="BO125" s="125"/>
      <c r="BP125" s="125"/>
      <c r="BQ125" s="125"/>
      <c r="BR125" s="125"/>
      <c r="BS125" s="125"/>
      <c r="BT125" s="125"/>
      <c r="BU125" s="125"/>
      <c r="BV125" s="125"/>
      <c r="BW125" s="125"/>
      <c r="BX125" s="125"/>
      <c r="BY125" s="125"/>
      <c r="BZ125" s="125"/>
      <c r="CA125" s="125"/>
      <c r="CB125" s="125"/>
      <c r="CC125" s="125"/>
      <c r="CD125" s="125"/>
      <c r="CE125" s="125"/>
      <c r="CF125" s="125"/>
      <c r="CG125" s="125"/>
      <c r="CH125" s="125"/>
    </row>
  </sheetData>
  <mergeCells count="8">
    <mergeCell ref="B1:D2"/>
    <mergeCell ref="Q2:X2"/>
    <mergeCell ref="M1:X1"/>
    <mergeCell ref="M2:P2"/>
    <mergeCell ref="E1:K1"/>
    <mergeCell ref="E2:G2"/>
    <mergeCell ref="H2:J2"/>
    <mergeCell ref="K2:K3"/>
  </mergeCells>
  <phoneticPr fontId="45" type="noConversion"/>
  <pageMargins left="0.25" right="0.25" top="0.75" bottom="0.75" header="0.3" footer="0.3"/>
  <pageSetup scale="54" orientation="landscape" horizontalDpi="4294967293" verticalDpi="0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  <pageSetUpPr fitToPage="1"/>
  </sheetPr>
  <dimension ref="A1:P49"/>
  <sheetViews>
    <sheetView zoomScaleNormal="100" workbookViewId="0">
      <pane xSplit="1" ySplit="5" topLeftCell="L18" activePane="bottomRight" state="frozen"/>
      <selection pane="topRight" activeCell="B1" sqref="B1"/>
      <selection pane="bottomLeft" activeCell="A6" sqref="A6"/>
      <selection pane="bottomRight" activeCell="L18" sqref="L18"/>
    </sheetView>
  </sheetViews>
  <sheetFormatPr defaultRowHeight="14.5" x14ac:dyDescent="0.35"/>
  <cols>
    <col min="1" max="1" width="8.6328125" customWidth="1"/>
    <col min="2" max="2" width="11.6328125" customWidth="1"/>
    <col min="3" max="3" width="20.54296875" customWidth="1"/>
    <col min="4" max="4" width="8.54296875" customWidth="1"/>
    <col min="5" max="5" width="10.54296875" customWidth="1"/>
    <col min="6" max="6" width="8.36328125" customWidth="1"/>
    <col min="7" max="7" width="8.90625" customWidth="1"/>
    <col min="8" max="8" width="9.90625" bestFit="1" customWidth="1"/>
    <col min="9" max="9" width="11" customWidth="1"/>
    <col min="13" max="13" width="10.54296875" customWidth="1"/>
    <col min="14" max="14" width="10" customWidth="1"/>
    <col min="15" max="15" width="18.54296875" customWidth="1"/>
    <col min="16" max="16" width="13.453125" customWidth="1"/>
    <col min="17" max="17" width="4.90625" customWidth="1"/>
  </cols>
  <sheetData>
    <row r="1" spans="1:16" ht="18.5" x14ac:dyDescent="0.45">
      <c r="A1" s="110">
        <v>2014</v>
      </c>
      <c r="B1" s="110" t="s">
        <v>92</v>
      </c>
    </row>
    <row r="2" spans="1:16" x14ac:dyDescent="0.35">
      <c r="A2" t="s">
        <v>98</v>
      </c>
      <c r="P2" s="112">
        <v>26746.75</v>
      </c>
    </row>
    <row r="3" spans="1:16" x14ac:dyDescent="0.35">
      <c r="P3" s="101"/>
    </row>
    <row r="4" spans="1:16" x14ac:dyDescent="0.35">
      <c r="A4" s="109" t="s">
        <v>190</v>
      </c>
      <c r="P4" s="101"/>
    </row>
    <row r="5" spans="1:16" x14ac:dyDescent="0.35">
      <c r="A5" s="108" t="s">
        <v>76</v>
      </c>
      <c r="B5" s="108" t="s">
        <v>77</v>
      </c>
      <c r="C5" s="109" t="s">
        <v>106</v>
      </c>
      <c r="D5" s="109" t="s">
        <v>142</v>
      </c>
      <c r="E5" s="108" t="s">
        <v>78</v>
      </c>
      <c r="F5" s="108" t="s">
        <v>73</v>
      </c>
      <c r="G5" s="108" t="s">
        <v>94</v>
      </c>
      <c r="H5" s="108" t="s">
        <v>95</v>
      </c>
      <c r="I5" s="108" t="s">
        <v>79</v>
      </c>
      <c r="J5" s="108" t="s">
        <v>96</v>
      </c>
      <c r="K5" s="108" t="s">
        <v>80</v>
      </c>
      <c r="L5" s="108" t="s">
        <v>81</v>
      </c>
      <c r="M5" s="108" t="s">
        <v>107</v>
      </c>
      <c r="N5" s="108" t="s">
        <v>82</v>
      </c>
      <c r="O5" s="108" t="s">
        <v>97</v>
      </c>
      <c r="P5" s="111" t="s">
        <v>93</v>
      </c>
    </row>
    <row r="6" spans="1:16" x14ac:dyDescent="0.35">
      <c r="A6" s="116">
        <v>43475</v>
      </c>
      <c r="B6" s="115">
        <v>-519.30999999999995</v>
      </c>
      <c r="C6" t="s">
        <v>83</v>
      </c>
      <c r="D6" s="148">
        <v>2509</v>
      </c>
      <c r="E6" s="108"/>
      <c r="F6" s="108"/>
      <c r="G6" s="108"/>
      <c r="H6" s="115">
        <f>+B6</f>
        <v>-519.30999999999995</v>
      </c>
      <c r="I6" s="108"/>
      <c r="J6" s="108"/>
      <c r="K6" s="108"/>
      <c r="L6" s="108"/>
      <c r="M6" s="108"/>
      <c r="N6" s="108"/>
      <c r="O6" s="108"/>
      <c r="P6" s="118">
        <f>+P2+SUM(E6:N6)</f>
        <v>26227.439999999999</v>
      </c>
    </row>
    <row r="7" spans="1:16" x14ac:dyDescent="0.35">
      <c r="A7" s="116">
        <v>43493</v>
      </c>
      <c r="B7" s="115">
        <v>-10.16</v>
      </c>
      <c r="C7" t="s">
        <v>85</v>
      </c>
      <c r="D7" s="148">
        <v>2510</v>
      </c>
      <c r="E7" s="108"/>
      <c r="F7" s="108"/>
      <c r="G7" s="108"/>
      <c r="H7" s="117"/>
      <c r="I7" s="108"/>
      <c r="J7" s="115">
        <f>+B7</f>
        <v>-10.16</v>
      </c>
      <c r="K7" s="108"/>
      <c r="L7" s="108"/>
      <c r="M7" s="108"/>
      <c r="N7" s="108"/>
      <c r="O7" s="108"/>
      <c r="P7" s="118">
        <f>+P6+SUM(E7:N7)</f>
        <v>26217.279999999999</v>
      </c>
    </row>
    <row r="8" spans="1:16" x14ac:dyDescent="0.35">
      <c r="A8" s="105">
        <v>43508</v>
      </c>
      <c r="B8" s="101">
        <v>-519.30999999999995</v>
      </c>
      <c r="C8" s="101" t="s">
        <v>83</v>
      </c>
      <c r="D8" s="148">
        <v>2511</v>
      </c>
      <c r="E8" s="101"/>
      <c r="F8" s="101"/>
      <c r="G8" s="101"/>
      <c r="H8" s="101">
        <f>+B8</f>
        <v>-519.30999999999995</v>
      </c>
      <c r="I8" s="101"/>
      <c r="J8" s="101"/>
      <c r="K8" s="101"/>
      <c r="L8" s="101"/>
      <c r="M8" s="101"/>
      <c r="N8" s="101"/>
      <c r="O8" s="101"/>
      <c r="P8" s="118">
        <f t="shared" ref="P8:P44" si="0">+P7+SUM(E8:N8)</f>
        <v>25697.969999999998</v>
      </c>
    </row>
    <row r="9" spans="1:16" x14ac:dyDescent="0.35">
      <c r="A9" s="105">
        <v>43515</v>
      </c>
      <c r="B9" s="101">
        <v>-87.98</v>
      </c>
      <c r="C9" s="101" t="s">
        <v>16</v>
      </c>
      <c r="D9" s="148">
        <v>2512</v>
      </c>
      <c r="E9" s="101"/>
      <c r="F9" s="101"/>
      <c r="G9" s="101"/>
      <c r="H9" s="101"/>
      <c r="I9" s="101">
        <f>+B9</f>
        <v>-87.98</v>
      </c>
      <c r="J9" s="101"/>
      <c r="K9" s="101"/>
      <c r="L9" s="101"/>
      <c r="M9" s="101"/>
      <c r="N9" s="101"/>
      <c r="O9" s="101"/>
      <c r="P9" s="118">
        <f t="shared" si="0"/>
        <v>25609.989999999998</v>
      </c>
    </row>
    <row r="10" spans="1:16" x14ac:dyDescent="0.35">
      <c r="A10" s="105">
        <v>43527</v>
      </c>
      <c r="B10" s="101">
        <v>-10.16</v>
      </c>
      <c r="C10" s="101" t="s">
        <v>85</v>
      </c>
      <c r="D10" s="148">
        <v>2513</v>
      </c>
      <c r="E10" s="101"/>
      <c r="F10" s="101"/>
      <c r="G10" s="101"/>
      <c r="H10" s="101"/>
      <c r="I10" s="101"/>
      <c r="J10" s="101">
        <f>+B10</f>
        <v>-10.16</v>
      </c>
      <c r="K10" s="101"/>
      <c r="L10" s="101"/>
      <c r="M10" s="101"/>
      <c r="N10" s="101"/>
      <c r="O10" s="101"/>
      <c r="P10" s="118">
        <f t="shared" si="0"/>
        <v>25599.829999999998</v>
      </c>
    </row>
    <row r="11" spans="1:16" x14ac:dyDescent="0.35">
      <c r="A11" s="105">
        <v>43529</v>
      </c>
      <c r="B11" s="101">
        <v>-519.30999999999995</v>
      </c>
      <c r="C11" s="101" t="s">
        <v>83</v>
      </c>
      <c r="D11" s="148">
        <v>2514</v>
      </c>
      <c r="E11" s="101"/>
      <c r="F11" s="101"/>
      <c r="G11" s="101"/>
      <c r="H11" s="101">
        <f>+B11</f>
        <v>-519.30999999999995</v>
      </c>
      <c r="I11" s="101"/>
      <c r="J11" s="101"/>
      <c r="K11" s="101"/>
      <c r="L11" s="101"/>
      <c r="M11" s="101"/>
      <c r="N11" s="101"/>
      <c r="O11" s="101"/>
      <c r="P11" s="118">
        <f t="shared" si="0"/>
        <v>25080.519999999997</v>
      </c>
    </row>
    <row r="12" spans="1:16" x14ac:dyDescent="0.35">
      <c r="A12" s="105">
        <v>43535</v>
      </c>
      <c r="B12" s="101">
        <v>-90.89</v>
      </c>
      <c r="C12" s="101" t="s">
        <v>141</v>
      </c>
      <c r="D12" s="148">
        <v>2515</v>
      </c>
      <c r="E12" s="101"/>
      <c r="F12" s="101"/>
      <c r="G12" s="101"/>
      <c r="H12" s="101"/>
      <c r="I12" s="101"/>
      <c r="J12" s="101"/>
      <c r="K12" s="101"/>
      <c r="L12" s="101"/>
      <c r="M12" s="101"/>
      <c r="N12" s="101">
        <f>+B12</f>
        <v>-90.89</v>
      </c>
      <c r="O12" s="101" t="s">
        <v>114</v>
      </c>
      <c r="P12" s="118">
        <f t="shared" si="0"/>
        <v>24989.629999999997</v>
      </c>
    </row>
    <row r="13" spans="1:16" x14ac:dyDescent="0.35">
      <c r="A13" s="105">
        <v>43555</v>
      </c>
      <c r="B13" s="101">
        <v>-519.30999999999995</v>
      </c>
      <c r="C13" s="101" t="s">
        <v>83</v>
      </c>
      <c r="D13" s="148">
        <v>2517</v>
      </c>
      <c r="E13" s="101"/>
      <c r="F13" s="101"/>
      <c r="G13" s="101"/>
      <c r="H13" s="101">
        <f>+B13</f>
        <v>-519.30999999999995</v>
      </c>
      <c r="I13" s="101"/>
      <c r="J13" s="101"/>
      <c r="K13" s="101"/>
      <c r="L13" s="101"/>
      <c r="M13" s="101"/>
      <c r="N13" s="101"/>
      <c r="O13" s="101"/>
      <c r="P13" s="118">
        <f t="shared" si="0"/>
        <v>24470.319999999996</v>
      </c>
    </row>
    <row r="14" spans="1:16" x14ac:dyDescent="0.35">
      <c r="A14" s="105">
        <v>43555</v>
      </c>
      <c r="B14" s="101">
        <v>-1478.25</v>
      </c>
      <c r="C14" s="101" t="s">
        <v>83</v>
      </c>
      <c r="D14" s="148">
        <v>2519</v>
      </c>
      <c r="E14" s="101"/>
      <c r="F14" s="101"/>
      <c r="G14" s="101"/>
      <c r="H14" s="101"/>
      <c r="I14" s="101"/>
      <c r="J14" s="101"/>
      <c r="K14" s="101"/>
      <c r="L14" s="101"/>
      <c r="M14" s="101"/>
      <c r="N14" s="101">
        <f>+B14</f>
        <v>-1478.25</v>
      </c>
      <c r="O14" s="101" t="s">
        <v>136</v>
      </c>
      <c r="P14" s="118">
        <f t="shared" si="0"/>
        <v>22992.069999999996</v>
      </c>
    </row>
    <row r="15" spans="1:16" x14ac:dyDescent="0.35">
      <c r="A15" s="105">
        <v>43556</v>
      </c>
      <c r="B15" s="101">
        <v>-10.16</v>
      </c>
      <c r="C15" s="101" t="s">
        <v>85</v>
      </c>
      <c r="D15" s="148">
        <v>2516</v>
      </c>
      <c r="E15" s="101"/>
      <c r="F15" s="101"/>
      <c r="G15" s="101"/>
      <c r="H15" s="101"/>
      <c r="I15" s="101"/>
      <c r="J15" s="101">
        <f>+B15</f>
        <v>-10.16</v>
      </c>
      <c r="K15" s="101"/>
      <c r="L15" s="101"/>
      <c r="M15" s="101"/>
      <c r="N15" s="101"/>
      <c r="O15" s="101"/>
      <c r="P15" s="118">
        <f t="shared" si="0"/>
        <v>22981.909999999996</v>
      </c>
    </row>
    <row r="16" spans="1:16" x14ac:dyDescent="0.35">
      <c r="A16" s="105">
        <v>43562</v>
      </c>
      <c r="B16" s="101">
        <v>9750</v>
      </c>
      <c r="C16" s="101" t="s">
        <v>78</v>
      </c>
      <c r="D16" s="148"/>
      <c r="E16" s="101">
        <f>+B16</f>
        <v>9750</v>
      </c>
      <c r="F16" s="101"/>
      <c r="G16" s="101"/>
      <c r="H16" s="101"/>
      <c r="I16" s="101"/>
      <c r="J16" s="101"/>
      <c r="K16" s="101"/>
      <c r="L16" s="101"/>
      <c r="M16" s="101"/>
      <c r="N16" s="101"/>
      <c r="O16" s="101"/>
      <c r="P16" s="118">
        <f t="shared" si="0"/>
        <v>32731.909999999996</v>
      </c>
    </row>
    <row r="17" spans="1:16" x14ac:dyDescent="0.35">
      <c r="A17" s="105">
        <v>43580</v>
      </c>
      <c r="B17" s="101">
        <v>-96.7</v>
      </c>
      <c r="C17" s="101" t="s">
        <v>16</v>
      </c>
      <c r="D17" s="148">
        <v>2521</v>
      </c>
      <c r="E17" s="101"/>
      <c r="F17" s="101"/>
      <c r="G17" s="101"/>
      <c r="H17" s="101"/>
      <c r="I17" s="101">
        <f>+B17</f>
        <v>-96.7</v>
      </c>
      <c r="J17" s="101"/>
      <c r="K17" s="101"/>
      <c r="L17" s="101"/>
      <c r="M17" s="101"/>
      <c r="N17" s="101"/>
      <c r="O17" s="101"/>
      <c r="P17" s="118">
        <f t="shared" si="0"/>
        <v>32635.209999999995</v>
      </c>
    </row>
    <row r="18" spans="1:16" x14ac:dyDescent="0.35">
      <c r="A18" s="105">
        <v>43583</v>
      </c>
      <c r="B18" s="101">
        <v>-10.16</v>
      </c>
      <c r="C18" s="101" t="s">
        <v>85</v>
      </c>
      <c r="D18" s="148">
        <v>2520</v>
      </c>
      <c r="E18" s="101"/>
      <c r="F18" s="101"/>
      <c r="G18" s="101"/>
      <c r="H18" s="101"/>
      <c r="I18" s="101"/>
      <c r="J18" s="101">
        <f>+B18</f>
        <v>-10.16</v>
      </c>
      <c r="K18" s="101"/>
      <c r="L18" s="101"/>
      <c r="M18" s="101"/>
      <c r="N18" s="101"/>
      <c r="O18" s="101"/>
      <c r="P18" s="118">
        <f t="shared" si="0"/>
        <v>32625.049999999996</v>
      </c>
    </row>
    <row r="19" spans="1:16" x14ac:dyDescent="0.35">
      <c r="A19" s="105">
        <v>43585</v>
      </c>
      <c r="B19" s="101">
        <v>-519.30999999999995</v>
      </c>
      <c r="C19" s="101" t="s">
        <v>83</v>
      </c>
      <c r="D19" s="148">
        <v>2522</v>
      </c>
      <c r="E19" s="101"/>
      <c r="F19" s="101"/>
      <c r="G19" s="101"/>
      <c r="H19" s="101">
        <f>+B19</f>
        <v>-519.30999999999995</v>
      </c>
      <c r="I19" s="101"/>
      <c r="J19" s="101"/>
      <c r="K19" s="101"/>
      <c r="L19" s="101"/>
      <c r="M19" s="101"/>
      <c r="N19" s="101"/>
      <c r="O19" s="101"/>
      <c r="P19" s="118">
        <f t="shared" si="0"/>
        <v>32105.739999999994</v>
      </c>
    </row>
    <row r="20" spans="1:16" x14ac:dyDescent="0.35">
      <c r="A20" s="105">
        <v>43607</v>
      </c>
      <c r="B20" s="101">
        <v>1500</v>
      </c>
      <c r="C20" s="101" t="s">
        <v>78</v>
      </c>
      <c r="D20" s="148"/>
      <c r="E20" s="101">
        <f>+B20</f>
        <v>1500</v>
      </c>
      <c r="F20" s="101"/>
      <c r="G20" s="101"/>
      <c r="H20" s="101"/>
      <c r="I20" s="101"/>
      <c r="J20" s="101"/>
      <c r="K20" s="101"/>
      <c r="L20" s="101"/>
      <c r="M20" s="101"/>
      <c r="N20" s="101"/>
      <c r="O20" s="101"/>
      <c r="P20" s="118">
        <f t="shared" si="0"/>
        <v>33605.739999999991</v>
      </c>
    </row>
    <row r="21" spans="1:16" x14ac:dyDescent="0.35">
      <c r="A21" s="105">
        <v>43614</v>
      </c>
      <c r="B21" s="101">
        <v>-10.16</v>
      </c>
      <c r="C21" s="101" t="s">
        <v>85</v>
      </c>
      <c r="D21" s="148">
        <v>2528</v>
      </c>
      <c r="E21" s="101"/>
      <c r="F21" s="101"/>
      <c r="G21" s="101"/>
      <c r="H21" s="101"/>
      <c r="I21" s="101"/>
      <c r="J21" s="101">
        <f>+B21</f>
        <v>-10.16</v>
      </c>
      <c r="K21" s="101"/>
      <c r="L21" s="101"/>
      <c r="M21" s="101"/>
      <c r="N21" s="101"/>
      <c r="O21" s="101"/>
      <c r="P21" s="118">
        <f t="shared" si="0"/>
        <v>33595.579999999987</v>
      </c>
    </row>
    <row r="22" spans="1:16" x14ac:dyDescent="0.35">
      <c r="A22" s="105">
        <v>43621</v>
      </c>
      <c r="B22" s="101">
        <v>-519.30999999999995</v>
      </c>
      <c r="C22" s="101" t="s">
        <v>83</v>
      </c>
      <c r="D22" s="148">
        <v>2525</v>
      </c>
      <c r="E22" s="101"/>
      <c r="F22" s="101"/>
      <c r="G22" s="101"/>
      <c r="H22" s="101">
        <f>+B22</f>
        <v>-519.30999999999995</v>
      </c>
      <c r="I22" s="101"/>
      <c r="J22" s="101"/>
      <c r="K22" s="101"/>
      <c r="L22" s="101"/>
      <c r="M22" s="101"/>
      <c r="N22" s="101"/>
      <c r="O22" s="101"/>
      <c r="P22" s="118">
        <f t="shared" si="0"/>
        <v>33076.26999999999</v>
      </c>
    </row>
    <row r="23" spans="1:16" x14ac:dyDescent="0.35">
      <c r="A23" s="105">
        <v>43628</v>
      </c>
      <c r="B23" s="101">
        <v>750</v>
      </c>
      <c r="C23" s="101" t="s">
        <v>78</v>
      </c>
      <c r="D23" s="148"/>
      <c r="E23" s="101">
        <f>+B23</f>
        <v>750</v>
      </c>
      <c r="F23" s="101"/>
      <c r="G23" s="101"/>
      <c r="H23" s="101"/>
      <c r="I23" s="101"/>
      <c r="J23" s="101"/>
      <c r="K23" s="101"/>
      <c r="L23" s="101"/>
      <c r="M23" s="101"/>
      <c r="N23" s="101"/>
      <c r="O23" s="101"/>
      <c r="P23" s="118">
        <f t="shared" si="0"/>
        <v>33826.26999999999</v>
      </c>
    </row>
    <row r="24" spans="1:16" x14ac:dyDescent="0.35">
      <c r="A24" s="105">
        <v>43629</v>
      </c>
      <c r="B24" s="101">
        <v>-98.04</v>
      </c>
      <c r="C24" s="101" t="s">
        <v>16</v>
      </c>
      <c r="D24" s="148">
        <v>2526</v>
      </c>
      <c r="E24" s="101"/>
      <c r="F24" s="101"/>
      <c r="G24" s="101"/>
      <c r="H24" s="101"/>
      <c r="I24" s="101">
        <f>+B24</f>
        <v>-98.04</v>
      </c>
      <c r="J24" s="101"/>
      <c r="K24" s="101"/>
      <c r="L24" s="101"/>
      <c r="M24" s="101"/>
      <c r="N24" s="101"/>
      <c r="O24" s="101"/>
      <c r="P24" s="118">
        <f t="shared" si="0"/>
        <v>33728.229999999989</v>
      </c>
    </row>
    <row r="25" spans="1:16" x14ac:dyDescent="0.35">
      <c r="A25" s="105">
        <v>43646</v>
      </c>
      <c r="B25" s="101">
        <v>-10.16</v>
      </c>
      <c r="C25" s="101" t="s">
        <v>85</v>
      </c>
      <c r="D25" s="148">
        <v>2523</v>
      </c>
      <c r="E25" s="101"/>
      <c r="F25" s="101"/>
      <c r="G25" s="101"/>
      <c r="H25" s="101"/>
      <c r="I25" s="101"/>
      <c r="J25" s="101">
        <f>+B25</f>
        <v>-10.16</v>
      </c>
      <c r="K25" s="101"/>
      <c r="L25" s="101"/>
      <c r="M25" s="101"/>
      <c r="N25" s="101"/>
      <c r="O25" s="101"/>
      <c r="P25" s="118">
        <f t="shared" si="0"/>
        <v>33718.069999999985</v>
      </c>
    </row>
    <row r="26" spans="1:16" x14ac:dyDescent="0.35">
      <c r="A26" s="105">
        <v>43662</v>
      </c>
      <c r="B26" s="101">
        <v>-519.30999999999995</v>
      </c>
      <c r="C26" s="101" t="s">
        <v>83</v>
      </c>
      <c r="D26" s="148">
        <v>2529</v>
      </c>
      <c r="E26" s="101"/>
      <c r="F26" s="101"/>
      <c r="G26" s="101"/>
      <c r="H26" s="101">
        <f>+B26</f>
        <v>-519.30999999999995</v>
      </c>
      <c r="I26" s="101"/>
      <c r="J26" s="101"/>
      <c r="K26" s="101"/>
      <c r="L26" s="101"/>
      <c r="M26" s="101"/>
      <c r="N26" s="101"/>
      <c r="O26" s="101"/>
      <c r="P26" s="118">
        <f t="shared" si="0"/>
        <v>33198.759999999987</v>
      </c>
    </row>
    <row r="27" spans="1:16" x14ac:dyDescent="0.35">
      <c r="A27" s="105">
        <v>43677</v>
      </c>
      <c r="B27" s="101">
        <v>-519.30999999999995</v>
      </c>
      <c r="C27" s="101" t="s">
        <v>83</v>
      </c>
      <c r="D27" s="148">
        <v>2531</v>
      </c>
      <c r="E27" s="101"/>
      <c r="F27" s="101"/>
      <c r="G27" s="101"/>
      <c r="H27" s="101">
        <f>+B27</f>
        <v>-519.30999999999995</v>
      </c>
      <c r="I27" s="101"/>
      <c r="J27" s="101"/>
      <c r="K27" s="101"/>
      <c r="L27" s="101"/>
      <c r="M27" s="101"/>
      <c r="N27" s="101"/>
      <c r="O27" s="101"/>
      <c r="P27" s="118">
        <f t="shared" si="0"/>
        <v>32679.449999999986</v>
      </c>
    </row>
    <row r="28" spans="1:16" x14ac:dyDescent="0.35">
      <c r="A28" s="105">
        <v>43678</v>
      </c>
      <c r="B28" s="101">
        <v>-10.16</v>
      </c>
      <c r="C28" s="101" t="s">
        <v>85</v>
      </c>
      <c r="D28" s="148">
        <v>2530</v>
      </c>
      <c r="E28" s="101"/>
      <c r="F28" s="101"/>
      <c r="G28" s="101"/>
      <c r="H28" s="101"/>
      <c r="I28" s="101"/>
      <c r="J28" s="101">
        <f>+B28</f>
        <v>-10.16</v>
      </c>
      <c r="K28" s="101"/>
      <c r="L28" s="101"/>
      <c r="M28" s="101"/>
      <c r="N28" s="101"/>
      <c r="O28" s="101"/>
      <c r="P28" s="118">
        <f t="shared" si="0"/>
        <v>32669.289999999986</v>
      </c>
    </row>
    <row r="29" spans="1:16" x14ac:dyDescent="0.35">
      <c r="A29" s="105">
        <v>43695</v>
      </c>
      <c r="B29" s="101">
        <v>-98.04</v>
      </c>
      <c r="C29" s="101" t="s">
        <v>16</v>
      </c>
      <c r="D29" s="148">
        <v>2532</v>
      </c>
      <c r="E29" s="101"/>
      <c r="F29" s="101"/>
      <c r="G29" s="101"/>
      <c r="H29" s="101"/>
      <c r="I29" s="101">
        <f>+B29</f>
        <v>-98.04</v>
      </c>
      <c r="J29" s="101"/>
      <c r="K29" s="101"/>
      <c r="L29" s="101"/>
      <c r="M29" s="101"/>
      <c r="N29" s="101"/>
      <c r="O29" s="101"/>
      <c r="P29" s="118">
        <f t="shared" si="0"/>
        <v>32571.249999999985</v>
      </c>
    </row>
    <row r="30" spans="1:16" x14ac:dyDescent="0.35">
      <c r="A30" s="105">
        <v>43710</v>
      </c>
      <c r="B30" s="101">
        <v>-45</v>
      </c>
      <c r="C30" s="101" t="s">
        <v>108</v>
      </c>
      <c r="D30" s="148">
        <v>2533</v>
      </c>
      <c r="E30" s="101"/>
      <c r="F30" s="101"/>
      <c r="G30" s="101"/>
      <c r="H30" s="101">
        <f>+B30</f>
        <v>-45</v>
      </c>
      <c r="I30" s="101"/>
      <c r="J30" s="101"/>
      <c r="K30" s="101"/>
      <c r="L30" s="101"/>
      <c r="M30" s="101"/>
      <c r="N30" s="101"/>
      <c r="O30" s="101" t="s">
        <v>158</v>
      </c>
      <c r="P30" s="118">
        <f t="shared" si="0"/>
        <v>32526.249999999985</v>
      </c>
    </row>
    <row r="31" spans="1:16" x14ac:dyDescent="0.35">
      <c r="A31" s="105">
        <v>43711</v>
      </c>
      <c r="B31" s="101">
        <v>-10.16</v>
      </c>
      <c r="C31" s="101" t="s">
        <v>85</v>
      </c>
      <c r="D31" s="148">
        <v>2534</v>
      </c>
      <c r="E31" s="101"/>
      <c r="F31" s="101"/>
      <c r="G31" s="101"/>
      <c r="H31" s="101"/>
      <c r="I31" s="101"/>
      <c r="J31" s="101">
        <f>+B31</f>
        <v>-10.16</v>
      </c>
      <c r="K31" s="101"/>
      <c r="L31" s="101"/>
      <c r="M31" s="101"/>
      <c r="N31" s="101"/>
      <c r="O31" s="101"/>
      <c r="P31" s="118">
        <f t="shared" si="0"/>
        <v>32516.089999999986</v>
      </c>
    </row>
    <row r="32" spans="1:16" x14ac:dyDescent="0.35">
      <c r="A32" s="105">
        <v>43711</v>
      </c>
      <c r="B32" s="101">
        <v>-519.30999999999995</v>
      </c>
      <c r="C32" s="101" t="s">
        <v>83</v>
      </c>
      <c r="D32" s="148">
        <v>2535</v>
      </c>
      <c r="E32" s="101"/>
      <c r="F32" s="101"/>
      <c r="G32" s="101"/>
      <c r="H32" s="101">
        <f>+B32</f>
        <v>-519.30999999999995</v>
      </c>
      <c r="I32" s="101"/>
      <c r="J32" s="101"/>
      <c r="K32" s="101"/>
      <c r="L32" s="101"/>
      <c r="M32" s="101"/>
      <c r="N32" s="101"/>
      <c r="O32" s="101"/>
      <c r="P32" s="118">
        <f t="shared" si="0"/>
        <v>31996.779999999984</v>
      </c>
    </row>
    <row r="33" spans="1:16" x14ac:dyDescent="0.35">
      <c r="A33" s="105">
        <v>43739</v>
      </c>
      <c r="B33" s="101">
        <v>-519.30999999999995</v>
      </c>
      <c r="C33" s="101" t="s">
        <v>83</v>
      </c>
      <c r="D33" s="148">
        <v>2537</v>
      </c>
      <c r="E33" s="101"/>
      <c r="F33" s="101"/>
      <c r="G33" s="101"/>
      <c r="H33" s="101">
        <f>+B33</f>
        <v>-519.30999999999995</v>
      </c>
      <c r="I33" s="101"/>
      <c r="J33" s="101"/>
      <c r="K33" s="101"/>
      <c r="L33" s="101"/>
      <c r="M33" s="101"/>
      <c r="N33" s="101"/>
      <c r="O33" s="101"/>
      <c r="P33" s="118">
        <f t="shared" si="0"/>
        <v>31477.469999999983</v>
      </c>
    </row>
    <row r="34" spans="1:16" x14ac:dyDescent="0.35">
      <c r="A34" s="105">
        <v>43740</v>
      </c>
      <c r="B34" s="101">
        <v>-10.16</v>
      </c>
      <c r="C34" s="101" t="s">
        <v>85</v>
      </c>
      <c r="D34" s="148">
        <v>2536</v>
      </c>
      <c r="E34" s="101"/>
      <c r="F34" s="101"/>
      <c r="G34" s="101"/>
      <c r="H34" s="101"/>
      <c r="I34" s="101"/>
      <c r="J34" s="101">
        <f>+B34</f>
        <v>-10.16</v>
      </c>
      <c r="K34" s="101"/>
      <c r="L34" s="101"/>
      <c r="M34" s="101"/>
      <c r="N34" s="101"/>
      <c r="O34" s="101"/>
      <c r="P34" s="118">
        <f t="shared" si="0"/>
        <v>31467.309999999983</v>
      </c>
    </row>
    <row r="35" spans="1:16" x14ac:dyDescent="0.35">
      <c r="A35" s="105">
        <v>43768</v>
      </c>
      <c r="B35" s="101">
        <v>-10.16</v>
      </c>
      <c r="C35" s="101" t="s">
        <v>85</v>
      </c>
      <c r="D35" s="148">
        <v>2542</v>
      </c>
      <c r="E35" s="101"/>
      <c r="F35" s="101"/>
      <c r="G35" s="101"/>
      <c r="H35" s="101"/>
      <c r="I35" s="101"/>
      <c r="J35" s="101">
        <f>+B35</f>
        <v>-10.16</v>
      </c>
      <c r="K35" s="101"/>
      <c r="L35" s="101"/>
      <c r="M35" s="101"/>
      <c r="N35" s="101"/>
      <c r="O35" s="101"/>
      <c r="P35" s="118">
        <f t="shared" si="0"/>
        <v>31457.149999999983</v>
      </c>
    </row>
    <row r="36" spans="1:16" x14ac:dyDescent="0.35">
      <c r="A36" s="105">
        <v>43769</v>
      </c>
      <c r="B36" s="101">
        <v>-56</v>
      </c>
      <c r="C36" s="101" t="s">
        <v>110</v>
      </c>
      <c r="D36" s="148">
        <v>2539</v>
      </c>
      <c r="E36" s="101"/>
      <c r="F36" s="101"/>
      <c r="G36" s="101"/>
      <c r="H36" s="101"/>
      <c r="I36" s="107"/>
      <c r="J36" s="107"/>
      <c r="K36" s="107"/>
      <c r="L36" s="107"/>
      <c r="M36" s="107"/>
      <c r="N36" s="101">
        <v>-56</v>
      </c>
      <c r="O36" s="101" t="s">
        <v>137</v>
      </c>
      <c r="P36" s="118">
        <f t="shared" si="0"/>
        <v>31401.149999999983</v>
      </c>
    </row>
    <row r="37" spans="1:16" x14ac:dyDescent="0.35">
      <c r="A37" s="105">
        <v>43769</v>
      </c>
      <c r="B37" s="101">
        <v>-879.62</v>
      </c>
      <c r="C37" s="101" t="s">
        <v>16</v>
      </c>
      <c r="D37" s="148">
        <v>2541</v>
      </c>
      <c r="E37" s="107"/>
      <c r="F37" s="107"/>
      <c r="G37" s="107"/>
      <c r="H37" s="107"/>
      <c r="I37" s="101">
        <f>+B37</f>
        <v>-879.62</v>
      </c>
      <c r="J37" s="107"/>
      <c r="K37" s="107"/>
      <c r="L37" s="107"/>
      <c r="M37" s="107"/>
      <c r="N37" s="101"/>
      <c r="O37" s="101"/>
      <c r="P37" s="118">
        <f t="shared" si="0"/>
        <v>30521.529999999984</v>
      </c>
    </row>
    <row r="38" spans="1:16" x14ac:dyDescent="0.35">
      <c r="A38" s="105">
        <v>43769</v>
      </c>
      <c r="B38" s="101">
        <v>-617</v>
      </c>
      <c r="C38" s="101" t="s">
        <v>5</v>
      </c>
      <c r="D38" s="148">
        <v>2538</v>
      </c>
      <c r="E38" s="107"/>
      <c r="F38" s="107"/>
      <c r="G38" s="101">
        <f>+B38</f>
        <v>-617</v>
      </c>
      <c r="H38" s="107"/>
      <c r="I38" s="101"/>
      <c r="J38" s="107"/>
      <c r="K38" s="107"/>
      <c r="L38" s="107"/>
      <c r="M38" s="107"/>
      <c r="N38" s="101"/>
      <c r="O38" s="101"/>
      <c r="P38" s="118">
        <f t="shared" si="0"/>
        <v>29904.529999999984</v>
      </c>
    </row>
    <row r="39" spans="1:16" x14ac:dyDescent="0.35">
      <c r="A39" s="105">
        <v>43781</v>
      </c>
      <c r="B39" s="101">
        <v>-519.30999999999995</v>
      </c>
      <c r="C39" s="101" t="s">
        <v>83</v>
      </c>
      <c r="D39" s="148">
        <v>2540</v>
      </c>
      <c r="E39" s="101"/>
      <c r="F39" s="101"/>
      <c r="G39" s="101"/>
      <c r="H39" s="101">
        <f>+B39</f>
        <v>-519.30999999999995</v>
      </c>
      <c r="I39" s="107"/>
      <c r="J39" s="107"/>
      <c r="K39" s="107"/>
      <c r="L39" s="107"/>
      <c r="M39" s="107"/>
      <c r="N39" s="101"/>
      <c r="O39" s="101"/>
      <c r="P39" s="118">
        <f t="shared" si="0"/>
        <v>29385.219999999983</v>
      </c>
    </row>
    <row r="40" spans="1:16" x14ac:dyDescent="0.35">
      <c r="A40" s="105">
        <v>43781</v>
      </c>
      <c r="B40" s="101">
        <v>-468.66</v>
      </c>
      <c r="C40" s="101" t="s">
        <v>83</v>
      </c>
      <c r="D40" s="148">
        <v>2543</v>
      </c>
      <c r="E40" s="101"/>
      <c r="F40" s="101"/>
      <c r="G40" s="107"/>
      <c r="H40" s="101"/>
      <c r="I40" s="107"/>
      <c r="J40" s="107"/>
      <c r="K40" s="107"/>
      <c r="L40" s="107"/>
      <c r="M40" s="107"/>
      <c r="N40" s="101">
        <f>+B40</f>
        <v>-468.66</v>
      </c>
      <c r="O40" s="101" t="s">
        <v>138</v>
      </c>
      <c r="P40" s="118">
        <f t="shared" si="0"/>
        <v>28916.559999999983</v>
      </c>
    </row>
    <row r="41" spans="1:16" x14ac:dyDescent="0.35">
      <c r="A41" s="105">
        <v>43800</v>
      </c>
      <c r="B41" s="101">
        <v>-519.30999999999995</v>
      </c>
      <c r="C41" s="101" t="s">
        <v>83</v>
      </c>
      <c r="D41" s="148">
        <v>2545</v>
      </c>
      <c r="E41" s="101"/>
      <c r="F41" s="101"/>
      <c r="G41" s="107"/>
      <c r="H41" s="101">
        <f>+B41</f>
        <v>-519.30999999999995</v>
      </c>
      <c r="I41" s="101"/>
      <c r="J41" s="101"/>
      <c r="K41" s="101"/>
      <c r="L41" s="107"/>
      <c r="M41" s="107"/>
      <c r="N41" s="101"/>
      <c r="O41" s="101"/>
      <c r="P41" s="118">
        <f t="shared" si="0"/>
        <v>28397.249999999982</v>
      </c>
    </row>
    <row r="42" spans="1:16" x14ac:dyDescent="0.35">
      <c r="A42" s="105">
        <v>43801</v>
      </c>
      <c r="B42" s="101">
        <v>-10.16</v>
      </c>
      <c r="C42" s="101" t="s">
        <v>85</v>
      </c>
      <c r="D42" s="148">
        <v>2544</v>
      </c>
      <c r="E42" s="101"/>
      <c r="F42" s="101"/>
      <c r="G42" s="107"/>
      <c r="H42" s="101"/>
      <c r="I42" s="101"/>
      <c r="J42" s="101">
        <f>+B42</f>
        <v>-10.16</v>
      </c>
      <c r="K42" s="101"/>
      <c r="L42" s="107"/>
      <c r="M42" s="107"/>
      <c r="N42" s="101"/>
      <c r="O42" s="101"/>
      <c r="P42" s="118">
        <f t="shared" si="0"/>
        <v>28387.089999999982</v>
      </c>
    </row>
    <row r="43" spans="1:16" x14ac:dyDescent="0.35">
      <c r="A43" s="105">
        <v>43813</v>
      </c>
      <c r="B43" s="101">
        <v>-98.04</v>
      </c>
      <c r="C43" s="101" t="s">
        <v>16</v>
      </c>
      <c r="D43" s="148">
        <v>2546</v>
      </c>
      <c r="E43" s="107"/>
      <c r="F43" s="107"/>
      <c r="G43" s="107"/>
      <c r="H43" s="107"/>
      <c r="I43" s="101">
        <f>+B43</f>
        <v>-98.04</v>
      </c>
      <c r="J43" s="107"/>
      <c r="K43" s="107"/>
      <c r="L43" s="107"/>
      <c r="M43" s="107"/>
      <c r="N43" s="101"/>
      <c r="O43" s="101" t="s">
        <v>124</v>
      </c>
      <c r="P43" s="118">
        <f t="shared" si="0"/>
        <v>28289.049999999981</v>
      </c>
    </row>
    <row r="44" spans="1:16" x14ac:dyDescent="0.35">
      <c r="A44" s="116" t="s">
        <v>140</v>
      </c>
      <c r="B44" s="107">
        <v>4.17</v>
      </c>
      <c r="C44" s="101" t="s">
        <v>139</v>
      </c>
      <c r="D44" s="148"/>
      <c r="E44" s="113"/>
      <c r="F44" s="113">
        <v>4.17</v>
      </c>
      <c r="G44" s="114"/>
      <c r="H44" s="114"/>
      <c r="I44" s="114"/>
      <c r="J44" s="114"/>
      <c r="K44" s="114"/>
      <c r="L44" s="114"/>
      <c r="M44" s="114"/>
      <c r="N44" s="114"/>
      <c r="O44" s="101"/>
      <c r="P44" s="118">
        <f t="shared" si="0"/>
        <v>28293.219999999979</v>
      </c>
    </row>
    <row r="45" spans="1:16" x14ac:dyDescent="0.35">
      <c r="B45" s="101">
        <f>SUM(B8:B35)</f>
        <v>5239.8700000000026</v>
      </c>
      <c r="C45" s="101"/>
      <c r="D45" s="101"/>
      <c r="E45" s="101">
        <f t="shared" ref="E45:N45" si="1">SUM(E6:E44)</f>
        <v>12000</v>
      </c>
      <c r="F45" s="101">
        <f t="shared" si="1"/>
        <v>4.17</v>
      </c>
      <c r="G45" s="101">
        <f t="shared" si="1"/>
        <v>-617</v>
      </c>
      <c r="H45" s="101">
        <f t="shared" si="1"/>
        <v>-6276.7199999999975</v>
      </c>
      <c r="I45" s="101">
        <f t="shared" si="1"/>
        <v>-1358.42</v>
      </c>
      <c r="J45" s="101">
        <f t="shared" si="1"/>
        <v>-111.75999999999998</v>
      </c>
      <c r="K45" s="101">
        <f t="shared" si="1"/>
        <v>0</v>
      </c>
      <c r="L45" s="101">
        <f t="shared" si="1"/>
        <v>0</v>
      </c>
      <c r="M45" s="101">
        <f t="shared" si="1"/>
        <v>0</v>
      </c>
      <c r="N45" s="101">
        <f t="shared" si="1"/>
        <v>-2093.8000000000002</v>
      </c>
      <c r="O45" s="101">
        <f>SUM(E45:N45)</f>
        <v>1546.4700000000025</v>
      </c>
      <c r="P45" s="101"/>
    </row>
    <row r="46" spans="1:16" x14ac:dyDescent="0.35">
      <c r="B46" s="101"/>
      <c r="C46" s="106" t="s">
        <v>90</v>
      </c>
      <c r="D46" s="106"/>
      <c r="E46" s="107">
        <v>375</v>
      </c>
      <c r="F46" s="107"/>
      <c r="G46" s="107"/>
      <c r="H46" s="101"/>
      <c r="I46" s="101"/>
      <c r="J46" s="101"/>
      <c r="K46" s="101"/>
      <c r="L46" s="101"/>
      <c r="M46" s="101"/>
      <c r="N46" s="101"/>
      <c r="O46" s="101">
        <f>+P2+O45</f>
        <v>28293.22</v>
      </c>
      <c r="P46" s="101"/>
    </row>
    <row r="47" spans="1:16" x14ac:dyDescent="0.35">
      <c r="B47" s="101"/>
      <c r="C47" s="106" t="s">
        <v>89</v>
      </c>
      <c r="D47" s="106"/>
      <c r="E47" s="152">
        <f>+E45/E46</f>
        <v>32</v>
      </c>
      <c r="H47" s="101"/>
      <c r="I47" s="101"/>
      <c r="J47" s="101"/>
      <c r="K47" s="101"/>
      <c r="L47" s="101"/>
      <c r="M47" s="101"/>
      <c r="N47" s="101"/>
      <c r="O47" s="106">
        <f>+P44-O46</f>
        <v>0</v>
      </c>
      <c r="P47" s="101">
        <f>+'2014 ByMo'!C26</f>
        <v>28293.220000000008</v>
      </c>
    </row>
    <row r="48" spans="1:16" x14ac:dyDescent="0.35">
      <c r="C48" s="106" t="s">
        <v>117</v>
      </c>
      <c r="D48" s="106"/>
      <c r="E48" s="153">
        <v>32</v>
      </c>
      <c r="O48" s="115" t="s">
        <v>127</v>
      </c>
      <c r="P48" s="101">
        <f>+P44-P47</f>
        <v>-2.9103830456733704E-11</v>
      </c>
    </row>
    <row r="49" spans="3:5" x14ac:dyDescent="0.35">
      <c r="C49" s="106" t="s">
        <v>118</v>
      </c>
      <c r="D49" s="106"/>
      <c r="E49" s="154">
        <f>+E47-E48</f>
        <v>0</v>
      </c>
    </row>
  </sheetData>
  <sortState xmlns:xlrd2="http://schemas.microsoft.com/office/spreadsheetml/2017/richdata2" ref="A7:O49">
    <sortCondition ref="A7:A49"/>
  </sortState>
  <pageMargins left="0.7" right="0.7" top="0.75" bottom="0.75" header="0.3" footer="0.3"/>
  <pageSetup scale="68" orientation="landscape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7" tint="-0.249977111117893"/>
    <pageSetUpPr fitToPage="1"/>
  </sheetPr>
  <dimension ref="A1:O36"/>
  <sheetViews>
    <sheetView zoomScale="89" zoomScaleNormal="89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B24" sqref="B24"/>
    </sheetView>
  </sheetViews>
  <sheetFormatPr defaultColWidth="8.6328125" defaultRowHeight="15.5" x14ac:dyDescent="0.35"/>
  <cols>
    <col min="1" max="1" width="14.6328125" style="1" customWidth="1"/>
    <col min="2" max="2" width="33.08984375" style="1" customWidth="1"/>
    <col min="3" max="3" width="12.54296875" style="1" customWidth="1"/>
    <col min="4" max="6" width="11.6328125" style="9" customWidth="1"/>
    <col min="7" max="15" width="11.6328125" style="1" customWidth="1"/>
    <col min="16" max="16384" width="8.6328125" style="1"/>
  </cols>
  <sheetData>
    <row r="1" spans="1:15" ht="31.5" customHeight="1" x14ac:dyDescent="0.35">
      <c r="A1" s="522" t="s">
        <v>70</v>
      </c>
      <c r="B1" s="523"/>
      <c r="C1" s="35" t="s">
        <v>67</v>
      </c>
      <c r="D1" s="17" t="s">
        <v>31</v>
      </c>
      <c r="E1" s="17" t="s">
        <v>32</v>
      </c>
      <c r="F1" s="17" t="s">
        <v>33</v>
      </c>
      <c r="G1" s="15" t="s">
        <v>34</v>
      </c>
      <c r="H1" s="15" t="s">
        <v>35</v>
      </c>
      <c r="I1" s="15" t="s">
        <v>36</v>
      </c>
      <c r="J1" s="15" t="s">
        <v>37</v>
      </c>
      <c r="K1" s="15" t="s">
        <v>38</v>
      </c>
      <c r="L1" s="15" t="s">
        <v>39</v>
      </c>
      <c r="M1" s="15" t="s">
        <v>40</v>
      </c>
      <c r="N1" s="15" t="s">
        <v>51</v>
      </c>
      <c r="O1" s="15" t="s">
        <v>52</v>
      </c>
    </row>
    <row r="2" spans="1:15" x14ac:dyDescent="0.35">
      <c r="A2" s="37" t="s">
        <v>189</v>
      </c>
      <c r="B2" s="38"/>
      <c r="C2" s="68">
        <v>26746.75</v>
      </c>
      <c r="D2" s="40">
        <f>+C2</f>
        <v>26746.75</v>
      </c>
      <c r="E2" s="41">
        <f>+D26</f>
        <v>26217.55</v>
      </c>
      <c r="F2" s="41">
        <f t="shared" ref="F2:O2" si="0">+E26</f>
        <v>25610.5</v>
      </c>
      <c r="G2" s="41">
        <f t="shared" si="0"/>
        <v>22992.850000000002</v>
      </c>
      <c r="H2" s="41">
        <f t="shared" si="0"/>
        <v>32106.78</v>
      </c>
      <c r="I2" s="41">
        <f t="shared" si="0"/>
        <v>33597.889999999992</v>
      </c>
      <c r="J2" s="41">
        <f t="shared" si="0"/>
        <v>33720.639999999992</v>
      </c>
      <c r="K2" s="41">
        <f t="shared" si="0"/>
        <v>32682.28999999999</v>
      </c>
      <c r="L2" s="41">
        <f t="shared" si="0"/>
        <v>32574.35999999999</v>
      </c>
      <c r="M2" s="41">
        <f t="shared" si="0"/>
        <v>32000.149999999987</v>
      </c>
      <c r="N2" s="41">
        <f t="shared" si="0"/>
        <v>29908.169999999987</v>
      </c>
      <c r="O2" s="41">
        <f t="shared" si="0"/>
        <v>28920.459999999985</v>
      </c>
    </row>
    <row r="3" spans="1:15" x14ac:dyDescent="0.35">
      <c r="A3" s="3"/>
      <c r="B3" s="6"/>
      <c r="C3" s="32"/>
      <c r="D3" s="26"/>
      <c r="E3" s="26"/>
      <c r="F3" s="26"/>
      <c r="G3" s="26"/>
      <c r="H3" s="27"/>
      <c r="I3" s="27"/>
      <c r="J3" s="27"/>
      <c r="K3" s="27"/>
      <c r="L3" s="27"/>
      <c r="M3" s="27"/>
      <c r="N3" s="27"/>
      <c r="O3" s="27"/>
    </row>
    <row r="4" spans="1:15" x14ac:dyDescent="0.35">
      <c r="A4" s="24" t="s">
        <v>44</v>
      </c>
      <c r="B4" s="6"/>
      <c r="C4" s="32"/>
      <c r="D4" s="26"/>
      <c r="E4" s="26"/>
      <c r="F4" s="26"/>
      <c r="G4" s="26"/>
      <c r="H4" s="27"/>
      <c r="I4" s="27"/>
      <c r="J4" s="27"/>
      <c r="K4" s="27"/>
      <c r="L4" s="27"/>
      <c r="M4" s="27"/>
      <c r="N4" s="27"/>
      <c r="O4" s="27"/>
    </row>
    <row r="5" spans="1:15" x14ac:dyDescent="0.35">
      <c r="A5" s="1" t="s">
        <v>65</v>
      </c>
      <c r="C5" s="33">
        <f>SUM(D5:O5)</f>
        <v>12004.170000000004</v>
      </c>
      <c r="D5" s="52">
        <v>0.27</v>
      </c>
      <c r="E5" s="52">
        <v>0.24</v>
      </c>
      <c r="F5" s="52">
        <v>0.27</v>
      </c>
      <c r="G5" s="52">
        <f>0.26+9750</f>
        <v>9750.26</v>
      </c>
      <c r="H5" s="53">
        <f>1501+0.27</f>
        <v>1501.27</v>
      </c>
      <c r="I5" s="53">
        <v>750.26</v>
      </c>
      <c r="J5" s="53">
        <v>0.27</v>
      </c>
      <c r="K5" s="53">
        <v>0.27</v>
      </c>
      <c r="L5" s="53">
        <v>0.26</v>
      </c>
      <c r="M5" s="53">
        <v>0.27</v>
      </c>
      <c r="N5" s="53">
        <v>0.26</v>
      </c>
      <c r="O5" s="53">
        <v>0.27</v>
      </c>
    </row>
    <row r="6" spans="1:15" x14ac:dyDescent="0.35">
      <c r="A6" s="95"/>
      <c r="C6" s="54">
        <f t="shared" ref="C6:O6" si="1">SUM(C5:C5)</f>
        <v>12004.170000000004</v>
      </c>
      <c r="D6" s="51">
        <f t="shared" si="1"/>
        <v>0.27</v>
      </c>
      <c r="E6" s="51">
        <f t="shared" si="1"/>
        <v>0.24</v>
      </c>
      <c r="F6" s="51">
        <f t="shared" si="1"/>
        <v>0.27</v>
      </c>
      <c r="G6" s="51">
        <f t="shared" si="1"/>
        <v>9750.26</v>
      </c>
      <c r="H6" s="51">
        <f t="shared" si="1"/>
        <v>1501.27</v>
      </c>
      <c r="I6" s="51">
        <f t="shared" si="1"/>
        <v>750.26</v>
      </c>
      <c r="J6" s="51">
        <f t="shared" si="1"/>
        <v>0.27</v>
      </c>
      <c r="K6" s="51">
        <f t="shared" si="1"/>
        <v>0.27</v>
      </c>
      <c r="L6" s="51">
        <f t="shared" si="1"/>
        <v>0.26</v>
      </c>
      <c r="M6" s="51">
        <f t="shared" si="1"/>
        <v>0.27</v>
      </c>
      <c r="N6" s="51">
        <f t="shared" si="1"/>
        <v>0.26</v>
      </c>
      <c r="O6" s="51">
        <f t="shared" si="1"/>
        <v>0.27</v>
      </c>
    </row>
    <row r="7" spans="1:15" x14ac:dyDescent="0.35">
      <c r="C7" s="32"/>
      <c r="D7" s="50"/>
      <c r="E7" s="50"/>
      <c r="F7" s="50"/>
      <c r="G7" s="27"/>
      <c r="H7" s="27"/>
      <c r="I7" s="27"/>
      <c r="J7" s="27"/>
      <c r="K7" s="27"/>
      <c r="L7" s="27"/>
      <c r="M7" s="27"/>
      <c r="N7" s="27"/>
      <c r="O7" s="27"/>
    </row>
    <row r="8" spans="1:15" x14ac:dyDescent="0.35">
      <c r="A8" s="24" t="s">
        <v>3</v>
      </c>
      <c r="C8" s="32"/>
      <c r="D8" s="26"/>
      <c r="E8" s="26"/>
      <c r="F8" s="26"/>
      <c r="G8" s="27"/>
      <c r="H8" s="27"/>
      <c r="I8" s="27"/>
      <c r="J8" s="27"/>
      <c r="K8" s="27"/>
      <c r="L8" s="27"/>
      <c r="M8" s="27"/>
      <c r="N8" s="27"/>
      <c r="O8" s="27"/>
    </row>
    <row r="9" spans="1:15" x14ac:dyDescent="0.35">
      <c r="A9" s="1" t="s">
        <v>48</v>
      </c>
      <c r="B9" s="1" t="s">
        <v>5</v>
      </c>
      <c r="C9" s="32">
        <f>SUM(D9:O9)</f>
        <v>617</v>
      </c>
      <c r="D9" s="26"/>
      <c r="E9" s="26"/>
      <c r="F9" s="26"/>
      <c r="G9" s="26"/>
      <c r="H9" s="26"/>
      <c r="I9" s="26"/>
      <c r="J9" s="26"/>
      <c r="K9" s="26"/>
      <c r="L9" s="26"/>
      <c r="M9" s="26">
        <v>617</v>
      </c>
      <c r="N9" s="26"/>
      <c r="O9" s="26"/>
    </row>
    <row r="10" spans="1:15" x14ac:dyDescent="0.35">
      <c r="C10" s="32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</row>
    <row r="11" spans="1:15" x14ac:dyDescent="0.35">
      <c r="A11" s="1" t="s">
        <v>279</v>
      </c>
      <c r="B11" s="1" t="s">
        <v>273</v>
      </c>
      <c r="C11" s="32">
        <f>SUM(D11:O11)</f>
        <v>6231.7199999999975</v>
      </c>
      <c r="D11" s="26">
        <v>519.30999999999995</v>
      </c>
      <c r="E11" s="26">
        <v>519.30999999999995</v>
      </c>
      <c r="F11" s="26">
        <f>519.31+519.31</f>
        <v>1038.6199999999999</v>
      </c>
      <c r="G11" s="26">
        <v>519.30999999999995</v>
      </c>
      <c r="H11" s="26"/>
      <c r="I11" s="26">
        <v>519.30999999999995</v>
      </c>
      <c r="J11" s="26">
        <f>519.31+519.31</f>
        <v>1038.6199999999999</v>
      </c>
      <c r="K11" s="26"/>
      <c r="L11" s="26">
        <f>519.31</f>
        <v>519.30999999999995</v>
      </c>
      <c r="M11" s="26">
        <v>519.30999999999995</v>
      </c>
      <c r="N11" s="26">
        <f>519.31</f>
        <v>519.30999999999995</v>
      </c>
      <c r="O11" s="26">
        <v>519.30999999999995</v>
      </c>
    </row>
    <row r="12" spans="1:15" x14ac:dyDescent="0.35">
      <c r="B12" s="1" t="s">
        <v>277</v>
      </c>
      <c r="C12" s="32">
        <f>SUM(D12:O12)</f>
        <v>45</v>
      </c>
      <c r="D12" s="26"/>
      <c r="E12" s="26"/>
      <c r="F12" s="26"/>
      <c r="G12" s="26"/>
      <c r="H12" s="26"/>
      <c r="I12" s="26"/>
      <c r="J12" s="26"/>
      <c r="K12" s="26"/>
      <c r="L12" s="26">
        <v>45</v>
      </c>
      <c r="M12" s="26"/>
      <c r="N12" s="26"/>
      <c r="O12" s="26"/>
    </row>
    <row r="13" spans="1:15" x14ac:dyDescent="0.35">
      <c r="B13" s="1" t="s">
        <v>278</v>
      </c>
      <c r="C13" s="32">
        <f>SUM(D13:O13)</f>
        <v>1946.91</v>
      </c>
      <c r="D13" s="26"/>
      <c r="E13" s="26"/>
      <c r="F13" s="26">
        <v>1478.25</v>
      </c>
      <c r="G13" s="26"/>
      <c r="H13" s="26"/>
      <c r="I13" s="26"/>
      <c r="J13" s="26"/>
      <c r="K13" s="26"/>
      <c r="L13" s="26"/>
      <c r="M13" s="26"/>
      <c r="N13" s="26">
        <v>468.66</v>
      </c>
      <c r="O13" s="26"/>
    </row>
    <row r="14" spans="1:15" x14ac:dyDescent="0.35">
      <c r="C14" s="32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</row>
    <row r="15" spans="1:15" x14ac:dyDescent="0.35">
      <c r="A15" s="1" t="s">
        <v>46</v>
      </c>
      <c r="B15" s="1" t="s">
        <v>253</v>
      </c>
      <c r="C15" s="32">
        <f>SUM(D15:O15)</f>
        <v>0</v>
      </c>
      <c r="D15" s="26"/>
      <c r="E15" s="26"/>
      <c r="F15" s="26"/>
      <c r="G15" s="28"/>
      <c r="H15" s="26"/>
      <c r="I15" s="26"/>
      <c r="J15" s="26"/>
      <c r="K15" s="26"/>
      <c r="L15" s="26"/>
      <c r="M15" s="26"/>
      <c r="N15" s="26"/>
      <c r="O15" s="26"/>
    </row>
    <row r="16" spans="1:15" x14ac:dyDescent="0.35">
      <c r="C16" s="32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</row>
    <row r="17" spans="1:15" x14ac:dyDescent="0.35">
      <c r="A17" s="1" t="s">
        <v>45</v>
      </c>
      <c r="B17" s="1" t="s">
        <v>16</v>
      </c>
      <c r="C17" s="32">
        <f>SUM(D17:O17)</f>
        <v>1358.42</v>
      </c>
      <c r="D17" s="26"/>
      <c r="E17" s="26">
        <v>87.98</v>
      </c>
      <c r="F17" s="26"/>
      <c r="G17" s="26">
        <v>96.7</v>
      </c>
      <c r="H17" s="26"/>
      <c r="I17" s="26">
        <v>98.04</v>
      </c>
      <c r="J17" s="26"/>
      <c r="K17" s="26">
        <v>98.04</v>
      </c>
      <c r="L17" s="26"/>
      <c r="M17" s="26">
        <v>879.62</v>
      </c>
      <c r="N17" s="26"/>
      <c r="O17" s="26">
        <v>98.04</v>
      </c>
    </row>
    <row r="18" spans="1:15" x14ac:dyDescent="0.35">
      <c r="B18" s="1" t="s">
        <v>17</v>
      </c>
      <c r="C18" s="32">
        <f>SUM(D18:O18)</f>
        <v>111.75999999999999</v>
      </c>
      <c r="D18" s="26">
        <v>10.16</v>
      </c>
      <c r="E18" s="26"/>
      <c r="F18" s="26">
        <v>10.16</v>
      </c>
      <c r="G18" s="26">
        <v>20.32</v>
      </c>
      <c r="H18" s="26">
        <v>10.16</v>
      </c>
      <c r="I18" s="26">
        <v>10.16</v>
      </c>
      <c r="J18" s="26"/>
      <c r="K18" s="26">
        <v>10.16</v>
      </c>
      <c r="L18" s="26">
        <v>10.16</v>
      </c>
      <c r="M18" s="26">
        <v>20.32</v>
      </c>
      <c r="N18" s="26"/>
      <c r="O18" s="26">
        <v>10.16</v>
      </c>
    </row>
    <row r="19" spans="1:15" x14ac:dyDescent="0.35">
      <c r="C19" s="32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</row>
    <row r="20" spans="1:15" x14ac:dyDescent="0.35">
      <c r="A20" s="1" t="s">
        <v>56</v>
      </c>
      <c r="B20" s="1" t="s">
        <v>30</v>
      </c>
      <c r="C20" s="32">
        <f>SUM(D20:O20)</f>
        <v>0</v>
      </c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</row>
    <row r="21" spans="1:15" x14ac:dyDescent="0.35">
      <c r="B21" s="1" t="s">
        <v>264</v>
      </c>
      <c r="C21" s="32">
        <f>SUM(D21:O21)</f>
        <v>146.88999999999999</v>
      </c>
      <c r="D21" s="26"/>
      <c r="E21" s="26"/>
      <c r="F21" s="26">
        <v>90.89</v>
      </c>
      <c r="G21" s="26"/>
      <c r="H21" s="26"/>
      <c r="I21" s="26"/>
      <c r="J21" s="26"/>
      <c r="K21" s="26"/>
      <c r="L21" s="26"/>
      <c r="M21" s="26">
        <v>56</v>
      </c>
      <c r="N21" s="26"/>
      <c r="O21" s="26"/>
    </row>
    <row r="22" spans="1:15" x14ac:dyDescent="0.35">
      <c r="B22" s="1" t="s">
        <v>22</v>
      </c>
      <c r="C22" s="32">
        <f>SUM(D22:O22)</f>
        <v>0</v>
      </c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</row>
    <row r="23" spans="1:15" x14ac:dyDescent="0.35">
      <c r="B23" s="1" t="s">
        <v>383</v>
      </c>
      <c r="C23" s="33">
        <f>SUM(D23:O23)</f>
        <v>0</v>
      </c>
      <c r="D23" s="29">
        <v>0</v>
      </c>
      <c r="E23" s="29">
        <v>0</v>
      </c>
      <c r="F23" s="29">
        <v>0</v>
      </c>
      <c r="G23" s="29">
        <v>0</v>
      </c>
      <c r="H23" s="29">
        <v>0</v>
      </c>
      <c r="I23" s="29">
        <v>0</v>
      </c>
      <c r="J23" s="29">
        <v>0</v>
      </c>
      <c r="K23" s="29">
        <v>0</v>
      </c>
      <c r="L23" s="29">
        <v>0</v>
      </c>
      <c r="M23" s="29">
        <v>0</v>
      </c>
      <c r="N23" s="29">
        <v>0</v>
      </c>
      <c r="O23" s="29">
        <v>0</v>
      </c>
    </row>
    <row r="24" spans="1:15" x14ac:dyDescent="0.35">
      <c r="A24" s="25" t="s">
        <v>24</v>
      </c>
      <c r="C24" s="34">
        <f t="shared" ref="C24:O24" si="2">SUM(C9:C23)</f>
        <v>10457.699999999997</v>
      </c>
      <c r="D24" s="30">
        <f t="shared" si="2"/>
        <v>529.46999999999991</v>
      </c>
      <c r="E24" s="30">
        <f t="shared" si="2"/>
        <v>607.29</v>
      </c>
      <c r="F24" s="30">
        <f t="shared" si="2"/>
        <v>2617.9199999999996</v>
      </c>
      <c r="G24" s="30">
        <f t="shared" si="2"/>
        <v>636.33000000000004</v>
      </c>
      <c r="H24" s="30">
        <f t="shared" si="2"/>
        <v>10.16</v>
      </c>
      <c r="I24" s="30">
        <f t="shared" si="2"/>
        <v>627.50999999999988</v>
      </c>
      <c r="J24" s="30">
        <f t="shared" si="2"/>
        <v>1038.6199999999999</v>
      </c>
      <c r="K24" s="30">
        <f t="shared" si="2"/>
        <v>108.2</v>
      </c>
      <c r="L24" s="30">
        <f t="shared" si="2"/>
        <v>574.46999999999991</v>
      </c>
      <c r="M24" s="30">
        <f t="shared" si="2"/>
        <v>2092.25</v>
      </c>
      <c r="N24" s="30">
        <f t="shared" si="2"/>
        <v>987.97</v>
      </c>
      <c r="O24" s="30">
        <f t="shared" si="2"/>
        <v>627.50999999999988</v>
      </c>
    </row>
    <row r="25" spans="1:15" x14ac:dyDescent="0.35">
      <c r="C25" s="32"/>
      <c r="D25" s="10"/>
      <c r="E25" s="10"/>
      <c r="F25" s="10"/>
    </row>
    <row r="26" spans="1:15" ht="16" thickBot="1" x14ac:dyDescent="0.4">
      <c r="A26" s="37" t="s">
        <v>50</v>
      </c>
      <c r="B26" s="42"/>
      <c r="C26" s="55">
        <f t="shared" ref="C26:O26" si="3">+C2+C6-C24</f>
        <v>28293.220000000008</v>
      </c>
      <c r="D26" s="36">
        <f t="shared" si="3"/>
        <v>26217.55</v>
      </c>
      <c r="E26" s="36">
        <f t="shared" si="3"/>
        <v>25610.5</v>
      </c>
      <c r="F26" s="36">
        <f t="shared" si="3"/>
        <v>22992.850000000002</v>
      </c>
      <c r="G26" s="36">
        <f t="shared" si="3"/>
        <v>32106.78</v>
      </c>
      <c r="H26" s="36">
        <f t="shared" si="3"/>
        <v>33597.889999999992</v>
      </c>
      <c r="I26" s="36">
        <f t="shared" si="3"/>
        <v>33720.639999999992</v>
      </c>
      <c r="J26" s="36">
        <f t="shared" si="3"/>
        <v>32682.28999999999</v>
      </c>
      <c r="K26" s="36">
        <f t="shared" si="3"/>
        <v>32574.35999999999</v>
      </c>
      <c r="L26" s="36">
        <f t="shared" si="3"/>
        <v>32000.149999999987</v>
      </c>
      <c r="M26" s="36">
        <f t="shared" si="3"/>
        <v>29908.169999999987</v>
      </c>
      <c r="N26" s="36">
        <f t="shared" si="3"/>
        <v>28920.459999999985</v>
      </c>
      <c r="O26" s="36">
        <f t="shared" si="3"/>
        <v>28293.219999999987</v>
      </c>
    </row>
    <row r="27" spans="1:15" x14ac:dyDescent="0.35">
      <c r="A27" s="3"/>
      <c r="C27" s="99"/>
    </row>
    <row r="28" spans="1:15" x14ac:dyDescent="0.35">
      <c r="A28"/>
      <c r="C28" s="23"/>
    </row>
    <row r="29" spans="1:15" x14ac:dyDescent="0.35">
      <c r="A29" s="31"/>
    </row>
    <row r="30" spans="1:15" x14ac:dyDescent="0.35">
      <c r="A30" s="1" t="s">
        <v>274</v>
      </c>
      <c r="B30" s="2"/>
      <c r="C30" s="281">
        <f>+C11</f>
        <v>6231.7199999999975</v>
      </c>
      <c r="D30" s="283">
        <f t="shared" ref="D30:D36" si="4">+C30/32</f>
        <v>194.74124999999992</v>
      </c>
    </row>
    <row r="31" spans="1:15" x14ac:dyDescent="0.35">
      <c r="A31" s="1" t="s">
        <v>275</v>
      </c>
      <c r="B31" s="2"/>
      <c r="C31" s="281">
        <f>+C12</f>
        <v>45</v>
      </c>
      <c r="D31" s="283">
        <f t="shared" si="4"/>
        <v>1.40625</v>
      </c>
    </row>
    <row r="32" spans="1:15" x14ac:dyDescent="0.35">
      <c r="A32" s="1" t="s">
        <v>285</v>
      </c>
      <c r="B32" s="2"/>
      <c r="C32" s="281">
        <f>+C13</f>
        <v>1946.91</v>
      </c>
      <c r="D32" s="283">
        <f t="shared" si="4"/>
        <v>60.840937500000003</v>
      </c>
    </row>
    <row r="33" spans="1:4" x14ac:dyDescent="0.35">
      <c r="A33" s="1" t="s">
        <v>4</v>
      </c>
      <c r="B33" s="2"/>
      <c r="C33" s="281">
        <f>+C9</f>
        <v>617</v>
      </c>
      <c r="D33" s="283">
        <f t="shared" si="4"/>
        <v>19.28125</v>
      </c>
    </row>
    <row r="34" spans="1:4" x14ac:dyDescent="0.35">
      <c r="A34" s="1" t="s">
        <v>15</v>
      </c>
      <c r="B34" s="2"/>
      <c r="C34" s="281">
        <f>+C17+C18</f>
        <v>1470.18</v>
      </c>
      <c r="D34" s="283">
        <f t="shared" si="4"/>
        <v>45.943125000000002</v>
      </c>
    </row>
    <row r="35" spans="1:4" x14ac:dyDescent="0.35">
      <c r="A35" s="1" t="s">
        <v>222</v>
      </c>
      <c r="B35" s="2"/>
      <c r="C35" s="282">
        <f>+C15+C20+C21+C22+C23</f>
        <v>146.88999999999999</v>
      </c>
      <c r="D35" s="284">
        <f t="shared" si="4"/>
        <v>4.5903124999999996</v>
      </c>
    </row>
    <row r="36" spans="1:4" x14ac:dyDescent="0.35">
      <c r="B36" s="2"/>
      <c r="C36" s="281">
        <f>SUM(C30:C35)</f>
        <v>10457.699999999997</v>
      </c>
      <c r="D36" s="283">
        <f t="shared" si="4"/>
        <v>326.80312499999991</v>
      </c>
    </row>
  </sheetData>
  <mergeCells count="1">
    <mergeCell ref="A1:B1"/>
  </mergeCells>
  <conditionalFormatting sqref="C27:C28">
    <cfRule type="cellIs" dxfId="8" priority="1" operator="lessThan">
      <formula>0</formula>
    </cfRule>
  </conditionalFormatting>
  <pageMargins left="0.7" right="0.7" top="0.75" bottom="0.75" header="0.3" footer="0.3"/>
  <pageSetup scale="62" orientation="landscape" horizontalDpi="4294967293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0000"/>
    <pageSetUpPr fitToPage="1"/>
  </sheetPr>
  <dimension ref="A1:Q53"/>
  <sheetViews>
    <sheetView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O33" sqref="O33"/>
    </sheetView>
  </sheetViews>
  <sheetFormatPr defaultRowHeight="14.5" x14ac:dyDescent="0.35"/>
  <cols>
    <col min="1" max="1" width="8.6328125" customWidth="1"/>
    <col min="2" max="2" width="11.6328125" customWidth="1"/>
    <col min="3" max="3" width="21.453125" customWidth="1"/>
    <col min="4" max="4" width="7.453125" customWidth="1"/>
    <col min="5" max="5" width="10.54296875" customWidth="1"/>
    <col min="6" max="6" width="8.36328125" customWidth="1"/>
    <col min="7" max="7" width="8.90625" customWidth="1"/>
    <col min="8" max="8" width="9.90625" bestFit="1" customWidth="1"/>
    <col min="9" max="9" width="11" customWidth="1"/>
    <col min="13" max="13" width="10.54296875" customWidth="1"/>
    <col min="14" max="14" width="10" customWidth="1"/>
    <col min="15" max="15" width="17.90625" customWidth="1"/>
    <col min="16" max="16" width="10.08984375" bestFit="1" customWidth="1"/>
    <col min="17" max="17" width="7.453125" customWidth="1"/>
  </cols>
  <sheetData>
    <row r="1" spans="1:17" ht="18.5" x14ac:dyDescent="0.45">
      <c r="A1" s="110">
        <v>2015</v>
      </c>
      <c r="B1" s="110" t="s">
        <v>92</v>
      </c>
      <c r="O1" s="115" t="s">
        <v>143</v>
      </c>
      <c r="P1" s="101">
        <f>+'2014 Ck Reg'!P44</f>
        <v>28293.219999999979</v>
      </c>
      <c r="Q1" s="101">
        <f>+P2-P1</f>
        <v>0</v>
      </c>
    </row>
    <row r="2" spans="1:17" x14ac:dyDescent="0.35">
      <c r="A2" t="s">
        <v>98</v>
      </c>
      <c r="P2" s="112">
        <v>28293.22</v>
      </c>
    </row>
    <row r="3" spans="1:17" x14ac:dyDescent="0.35">
      <c r="P3" s="101"/>
    </row>
    <row r="4" spans="1:17" x14ac:dyDescent="0.35">
      <c r="A4" s="109" t="s">
        <v>188</v>
      </c>
      <c r="P4" s="101"/>
    </row>
    <row r="5" spans="1:17" x14ac:dyDescent="0.35">
      <c r="A5" s="108" t="s">
        <v>76</v>
      </c>
      <c r="B5" s="108" t="s">
        <v>77</v>
      </c>
      <c r="C5" s="109" t="s">
        <v>106</v>
      </c>
      <c r="D5" s="108" t="s">
        <v>135</v>
      </c>
      <c r="E5" s="108" t="s">
        <v>78</v>
      </c>
      <c r="F5" s="108" t="s">
        <v>73</v>
      </c>
      <c r="G5" s="108" t="s">
        <v>94</v>
      </c>
      <c r="H5" s="108" t="s">
        <v>95</v>
      </c>
      <c r="I5" s="108" t="s">
        <v>79</v>
      </c>
      <c r="J5" s="108" t="s">
        <v>96</v>
      </c>
      <c r="K5" s="108" t="s">
        <v>80</v>
      </c>
      <c r="L5" s="108" t="s">
        <v>81</v>
      </c>
      <c r="M5" s="108" t="s">
        <v>107</v>
      </c>
      <c r="N5" s="108" t="s">
        <v>82</v>
      </c>
      <c r="O5" s="108" t="s">
        <v>97</v>
      </c>
      <c r="P5" s="111" t="s">
        <v>93</v>
      </c>
    </row>
    <row r="6" spans="1:17" x14ac:dyDescent="0.35">
      <c r="A6" s="105">
        <v>43495</v>
      </c>
      <c r="B6" s="101">
        <v>0.27</v>
      </c>
      <c r="C6" s="101" t="s">
        <v>103</v>
      </c>
      <c r="D6" s="148"/>
      <c r="E6" s="101"/>
      <c r="F6" s="101">
        <f>+B6</f>
        <v>0.27</v>
      </c>
      <c r="G6" s="101"/>
      <c r="H6" s="101"/>
      <c r="I6" s="101"/>
      <c r="J6" s="101"/>
      <c r="K6" s="101"/>
      <c r="L6" s="101"/>
      <c r="M6" s="101"/>
      <c r="N6" s="101"/>
      <c r="O6" s="101"/>
      <c r="P6" s="112">
        <f>+P2+SUM(E6:N6)</f>
        <v>28293.49</v>
      </c>
    </row>
    <row r="7" spans="1:17" x14ac:dyDescent="0.35">
      <c r="A7" s="105">
        <v>43498</v>
      </c>
      <c r="B7" s="101">
        <v>-20.32</v>
      </c>
      <c r="C7" s="101" t="s">
        <v>85</v>
      </c>
      <c r="D7" s="148">
        <v>2547</v>
      </c>
      <c r="E7" s="101"/>
      <c r="F7" s="101"/>
      <c r="G7" s="101"/>
      <c r="H7" s="101"/>
      <c r="I7" s="101"/>
      <c r="J7" s="101">
        <f>+B7</f>
        <v>-20.32</v>
      </c>
      <c r="K7" s="101"/>
      <c r="L7" s="101"/>
      <c r="M7" s="101"/>
      <c r="N7" s="101"/>
      <c r="O7" s="101"/>
      <c r="P7" s="101">
        <f t="shared" ref="P7:P48" si="0">+P6+SUM(E7:N7)</f>
        <v>28273.170000000002</v>
      </c>
    </row>
    <row r="8" spans="1:17" x14ac:dyDescent="0.35">
      <c r="A8" s="105">
        <v>43519</v>
      </c>
      <c r="B8" s="101">
        <v>-10.16</v>
      </c>
      <c r="C8" s="101" t="s">
        <v>85</v>
      </c>
      <c r="D8" s="148">
        <v>2550</v>
      </c>
      <c r="E8" s="101"/>
      <c r="F8" s="101"/>
      <c r="G8" s="101"/>
      <c r="H8" s="101"/>
      <c r="I8" s="101"/>
      <c r="J8" s="101">
        <f>+B8</f>
        <v>-10.16</v>
      </c>
      <c r="K8" s="101"/>
      <c r="L8" s="101"/>
      <c r="M8" s="101"/>
      <c r="N8" s="101"/>
      <c r="O8" s="101"/>
      <c r="P8" s="101">
        <f t="shared" si="0"/>
        <v>28263.010000000002</v>
      </c>
    </row>
    <row r="9" spans="1:17" x14ac:dyDescent="0.35">
      <c r="A9" s="105">
        <v>43520</v>
      </c>
      <c r="B9" s="101">
        <v>-98.04</v>
      </c>
      <c r="C9" s="101" t="s">
        <v>16</v>
      </c>
      <c r="D9" s="148">
        <v>2551</v>
      </c>
      <c r="E9" s="101"/>
      <c r="F9" s="101"/>
      <c r="G9" s="101"/>
      <c r="H9" s="101"/>
      <c r="I9" s="101">
        <f>+B9</f>
        <v>-98.04</v>
      </c>
      <c r="J9" s="101"/>
      <c r="K9" s="101"/>
      <c r="L9" s="101"/>
      <c r="M9" s="101"/>
      <c r="N9" s="101"/>
      <c r="O9" s="101"/>
      <c r="P9" s="101">
        <f t="shared" si="0"/>
        <v>28164.97</v>
      </c>
    </row>
    <row r="10" spans="1:17" x14ac:dyDescent="0.35">
      <c r="A10" s="105">
        <v>43523</v>
      </c>
      <c r="B10" s="101">
        <v>0.24</v>
      </c>
      <c r="C10" s="101" t="s">
        <v>103</v>
      </c>
      <c r="D10" s="148"/>
      <c r="E10" s="101"/>
      <c r="F10" s="101">
        <f>+B10</f>
        <v>0.24</v>
      </c>
      <c r="G10" s="101"/>
      <c r="H10" s="101"/>
      <c r="I10" s="101"/>
      <c r="J10" s="101"/>
      <c r="K10" s="101"/>
      <c r="L10" s="101"/>
      <c r="M10" s="101"/>
      <c r="N10" s="101"/>
      <c r="O10" s="101"/>
      <c r="P10" s="112">
        <f t="shared" si="0"/>
        <v>28165.210000000003</v>
      </c>
    </row>
    <row r="11" spans="1:17" x14ac:dyDescent="0.35">
      <c r="A11" s="105">
        <v>43540</v>
      </c>
      <c r="B11" s="101">
        <v>-519.30999999999995</v>
      </c>
      <c r="C11" s="101" t="s">
        <v>83</v>
      </c>
      <c r="D11" s="148">
        <v>2549</v>
      </c>
      <c r="E11" s="101"/>
      <c r="F11" s="101"/>
      <c r="G11" s="101"/>
      <c r="H11" s="101">
        <f>+B11</f>
        <v>-519.30999999999995</v>
      </c>
      <c r="I11" s="101"/>
      <c r="J11" s="101"/>
      <c r="K11" s="101"/>
      <c r="L11" s="101"/>
      <c r="M11" s="101"/>
      <c r="N11" s="101"/>
      <c r="O11" s="101"/>
      <c r="P11" s="101">
        <f t="shared" si="0"/>
        <v>27645.9</v>
      </c>
    </row>
    <row r="12" spans="1:17" x14ac:dyDescent="0.35">
      <c r="A12" s="105">
        <v>43540</v>
      </c>
      <c r="B12" s="101">
        <v>-1038.6199999999999</v>
      </c>
      <c r="C12" s="101" t="s">
        <v>83</v>
      </c>
      <c r="D12" s="148">
        <v>2552</v>
      </c>
      <c r="E12" s="101"/>
      <c r="F12" s="101"/>
      <c r="G12" s="101"/>
      <c r="H12" s="101">
        <f>+B12</f>
        <v>-1038.6199999999999</v>
      </c>
      <c r="I12" s="101"/>
      <c r="J12" s="101"/>
      <c r="K12" s="101"/>
      <c r="L12" s="101"/>
      <c r="M12" s="101"/>
      <c r="N12" s="101"/>
      <c r="O12" s="101"/>
      <c r="P12" s="101">
        <f t="shared" si="0"/>
        <v>26607.280000000002</v>
      </c>
    </row>
    <row r="13" spans="1:17" x14ac:dyDescent="0.35">
      <c r="A13" s="105">
        <v>43555</v>
      </c>
      <c r="B13" s="101">
        <v>0.27</v>
      </c>
      <c r="C13" s="101" t="s">
        <v>103</v>
      </c>
      <c r="D13" s="148"/>
      <c r="E13" s="101"/>
      <c r="F13" s="101">
        <f>+B13</f>
        <v>0.27</v>
      </c>
      <c r="G13" s="101"/>
      <c r="H13" s="101"/>
      <c r="I13" s="101"/>
      <c r="J13" s="101"/>
      <c r="K13" s="101"/>
      <c r="L13" s="101"/>
      <c r="M13" s="101"/>
      <c r="N13" s="101"/>
      <c r="O13" s="101"/>
      <c r="P13" s="112">
        <f t="shared" si="0"/>
        <v>26607.550000000003</v>
      </c>
    </row>
    <row r="14" spans="1:17" x14ac:dyDescent="0.35">
      <c r="A14" s="105">
        <v>43556</v>
      </c>
      <c r="B14" s="101">
        <v>10875</v>
      </c>
      <c r="C14" s="101" t="s">
        <v>78</v>
      </c>
      <c r="D14" s="148"/>
      <c r="E14" s="101">
        <f>+B14</f>
        <v>10875</v>
      </c>
      <c r="F14" s="101"/>
      <c r="G14" s="101"/>
      <c r="H14" s="101"/>
      <c r="I14" s="101"/>
      <c r="J14" s="101"/>
      <c r="K14" s="101"/>
      <c r="L14" s="101"/>
      <c r="M14" s="101"/>
      <c r="N14" s="101"/>
      <c r="O14" s="101"/>
      <c r="P14" s="101">
        <f t="shared" si="0"/>
        <v>37482.550000000003</v>
      </c>
    </row>
    <row r="15" spans="1:17" x14ac:dyDescent="0.35">
      <c r="A15" s="105">
        <v>43564</v>
      </c>
      <c r="B15" s="101">
        <v>-24</v>
      </c>
      <c r="C15" s="101" t="s">
        <v>155</v>
      </c>
      <c r="D15" s="148"/>
      <c r="E15" s="101"/>
      <c r="F15" s="101"/>
      <c r="G15" s="101"/>
      <c r="H15" s="101"/>
      <c r="I15" s="101"/>
      <c r="J15" s="101"/>
      <c r="K15" s="101"/>
      <c r="L15" s="101">
        <f>+B15</f>
        <v>-24</v>
      </c>
      <c r="M15" s="101"/>
      <c r="N15" s="101"/>
      <c r="O15" s="101"/>
      <c r="P15" s="101">
        <f t="shared" si="0"/>
        <v>37458.550000000003</v>
      </c>
    </row>
    <row r="16" spans="1:17" x14ac:dyDescent="0.35">
      <c r="A16" s="105">
        <v>43571</v>
      </c>
      <c r="B16" s="101">
        <v>-10.16</v>
      </c>
      <c r="C16" s="101" t="s">
        <v>85</v>
      </c>
      <c r="D16" s="148">
        <v>2553</v>
      </c>
      <c r="E16" s="101"/>
      <c r="F16" s="101"/>
      <c r="G16" s="101"/>
      <c r="H16" s="101"/>
      <c r="I16" s="101"/>
      <c r="J16" s="101">
        <f>+B16</f>
        <v>-10.16</v>
      </c>
      <c r="K16" s="101"/>
      <c r="L16" s="101"/>
      <c r="M16" s="101"/>
      <c r="N16" s="101"/>
      <c r="O16" s="101"/>
      <c r="P16" s="101">
        <f t="shared" si="0"/>
        <v>37448.39</v>
      </c>
    </row>
    <row r="17" spans="1:16" x14ac:dyDescent="0.35">
      <c r="A17" s="105">
        <v>43571</v>
      </c>
      <c r="B17" s="101">
        <v>-100.33</v>
      </c>
      <c r="C17" s="101" t="s">
        <v>16</v>
      </c>
      <c r="D17" s="148">
        <v>2554</v>
      </c>
      <c r="E17" s="101"/>
      <c r="F17" s="101"/>
      <c r="G17" s="101"/>
      <c r="H17" s="101"/>
      <c r="I17" s="101">
        <f>+B17</f>
        <v>-100.33</v>
      </c>
      <c r="J17" s="101"/>
      <c r="K17" s="101"/>
      <c r="L17" s="101"/>
      <c r="M17" s="101"/>
      <c r="N17" s="101"/>
      <c r="O17" s="101"/>
      <c r="P17" s="101">
        <f t="shared" si="0"/>
        <v>37348.06</v>
      </c>
    </row>
    <row r="18" spans="1:16" x14ac:dyDescent="0.35">
      <c r="A18" s="105">
        <v>43585</v>
      </c>
      <c r="B18" s="101">
        <v>0.26</v>
      </c>
      <c r="C18" s="101" t="s">
        <v>103</v>
      </c>
      <c r="D18" s="148"/>
      <c r="E18" s="101"/>
      <c r="F18" s="101">
        <f>+B18</f>
        <v>0.26</v>
      </c>
      <c r="G18" s="101"/>
      <c r="H18" s="101"/>
      <c r="I18" s="101"/>
      <c r="J18" s="101"/>
      <c r="K18" s="101"/>
      <c r="L18" s="101"/>
      <c r="M18" s="101"/>
      <c r="N18" s="101"/>
      <c r="O18" s="101"/>
      <c r="P18" s="112">
        <f t="shared" si="0"/>
        <v>37348.32</v>
      </c>
    </row>
    <row r="19" spans="1:16" x14ac:dyDescent="0.35">
      <c r="A19" s="105">
        <v>43586</v>
      </c>
      <c r="B19" s="101">
        <v>-10.16</v>
      </c>
      <c r="C19" s="101" t="s">
        <v>85</v>
      </c>
      <c r="D19" s="148">
        <v>2557</v>
      </c>
      <c r="E19" s="101"/>
      <c r="F19" s="101"/>
      <c r="G19" s="101"/>
      <c r="H19" s="101"/>
      <c r="I19" s="101"/>
      <c r="J19" s="101">
        <f>+B19</f>
        <v>-10.16</v>
      </c>
      <c r="K19" s="101"/>
      <c r="L19" s="101"/>
      <c r="M19" s="101"/>
      <c r="N19" s="101"/>
      <c r="O19" s="101"/>
      <c r="P19" s="101">
        <f t="shared" si="0"/>
        <v>37338.159999999996</v>
      </c>
    </row>
    <row r="20" spans="1:16" x14ac:dyDescent="0.35">
      <c r="A20" s="105">
        <v>43590</v>
      </c>
      <c r="B20" s="101">
        <v>-1038.6199999999999</v>
      </c>
      <c r="C20" s="101" t="s">
        <v>83</v>
      </c>
      <c r="D20" s="148">
        <v>2556</v>
      </c>
      <c r="E20" s="101"/>
      <c r="F20" s="101"/>
      <c r="G20" s="101"/>
      <c r="H20" s="101">
        <f>+B20</f>
        <v>-1038.6199999999999</v>
      </c>
      <c r="I20" s="101"/>
      <c r="J20" s="101"/>
      <c r="K20" s="101"/>
      <c r="L20" s="101"/>
      <c r="M20" s="101"/>
      <c r="N20" s="101"/>
      <c r="O20" s="101"/>
      <c r="P20" s="101">
        <f t="shared" si="0"/>
        <v>36299.539999999994</v>
      </c>
    </row>
    <row r="21" spans="1:16" x14ac:dyDescent="0.35">
      <c r="A21" s="105">
        <v>43614</v>
      </c>
      <c r="B21" s="101">
        <v>0.27</v>
      </c>
      <c r="C21" s="101" t="s">
        <v>103</v>
      </c>
      <c r="D21" s="148"/>
      <c r="E21" s="101"/>
      <c r="F21" s="101">
        <f>+B21</f>
        <v>0.27</v>
      </c>
      <c r="G21" s="101"/>
      <c r="H21" s="101"/>
      <c r="I21" s="101"/>
      <c r="J21" s="101"/>
      <c r="K21" s="101"/>
      <c r="L21" s="101"/>
      <c r="M21" s="101"/>
      <c r="N21" s="101"/>
      <c r="O21" s="101"/>
      <c r="P21" s="112">
        <f t="shared" si="0"/>
        <v>36299.80999999999</v>
      </c>
    </row>
    <row r="22" spans="1:16" x14ac:dyDescent="0.35">
      <c r="A22" s="105">
        <v>43618</v>
      </c>
      <c r="B22" s="101">
        <v>-10.16</v>
      </c>
      <c r="C22" s="101" t="s">
        <v>85</v>
      </c>
      <c r="D22" s="148">
        <v>2558</v>
      </c>
      <c r="E22" s="101"/>
      <c r="F22" s="101"/>
      <c r="G22" s="101"/>
      <c r="H22" s="101"/>
      <c r="I22" s="101"/>
      <c r="J22" s="101">
        <f>+B22</f>
        <v>-10.16</v>
      </c>
      <c r="K22" s="101"/>
      <c r="L22" s="101"/>
      <c r="M22" s="101"/>
      <c r="N22" s="101"/>
      <c r="O22" s="101"/>
      <c r="P22" s="101">
        <f t="shared" si="0"/>
        <v>36289.649999999987</v>
      </c>
    </row>
    <row r="23" spans="1:16" x14ac:dyDescent="0.35">
      <c r="A23" s="105">
        <v>43624</v>
      </c>
      <c r="B23" s="101">
        <v>-519.30999999999995</v>
      </c>
      <c r="C23" s="101" t="s">
        <v>83</v>
      </c>
      <c r="D23" s="148">
        <v>2560</v>
      </c>
      <c r="E23" s="101"/>
      <c r="F23" s="101"/>
      <c r="G23" s="101"/>
      <c r="H23" s="101">
        <f>+B23</f>
        <v>-519.30999999999995</v>
      </c>
      <c r="I23" s="101"/>
      <c r="J23" s="101"/>
      <c r="K23" s="101"/>
      <c r="L23" s="101"/>
      <c r="M23" s="101"/>
      <c r="N23" s="101"/>
      <c r="O23" s="101"/>
      <c r="P23" s="101">
        <f t="shared" si="0"/>
        <v>35770.339999999989</v>
      </c>
    </row>
    <row r="24" spans="1:16" x14ac:dyDescent="0.35">
      <c r="A24" s="105">
        <v>43625</v>
      </c>
      <c r="B24" s="101">
        <v>-123.4</v>
      </c>
      <c r="C24" s="101" t="s">
        <v>16</v>
      </c>
      <c r="D24" s="148">
        <v>2559</v>
      </c>
      <c r="E24" s="101"/>
      <c r="F24" s="101"/>
      <c r="G24" s="101"/>
      <c r="H24" s="101"/>
      <c r="I24" s="101">
        <f>+B24</f>
        <v>-123.4</v>
      </c>
      <c r="J24" s="101"/>
      <c r="K24" s="101"/>
      <c r="L24" s="101"/>
      <c r="M24" s="101"/>
      <c r="N24" s="101"/>
      <c r="O24" s="101"/>
      <c r="P24" s="101">
        <f t="shared" si="0"/>
        <v>35646.939999999988</v>
      </c>
    </row>
    <row r="25" spans="1:16" x14ac:dyDescent="0.35">
      <c r="A25" s="105">
        <v>43627</v>
      </c>
      <c r="B25" s="101">
        <v>-10</v>
      </c>
      <c r="C25" s="101" t="s">
        <v>157</v>
      </c>
      <c r="D25" s="148">
        <v>2561</v>
      </c>
      <c r="E25" s="101"/>
      <c r="F25" s="101"/>
      <c r="G25" s="101"/>
      <c r="H25" s="101"/>
      <c r="I25" s="101"/>
      <c r="J25" s="101"/>
      <c r="K25" s="101"/>
      <c r="L25" s="101"/>
      <c r="M25" s="101"/>
      <c r="N25" s="101">
        <f>+B25</f>
        <v>-10</v>
      </c>
      <c r="O25" s="101" t="s">
        <v>104</v>
      </c>
      <c r="P25" s="101">
        <f t="shared" si="0"/>
        <v>35636.939999999988</v>
      </c>
    </row>
    <row r="26" spans="1:16" x14ac:dyDescent="0.35">
      <c r="A26" s="105">
        <v>43640</v>
      </c>
      <c r="B26" s="101">
        <v>-45</v>
      </c>
      <c r="C26" s="101" t="s">
        <v>108</v>
      </c>
      <c r="D26" s="148">
        <v>2562</v>
      </c>
      <c r="E26" s="101"/>
      <c r="F26" s="101"/>
      <c r="G26" s="101"/>
      <c r="H26" s="101">
        <f>+B26</f>
        <v>-45</v>
      </c>
      <c r="I26" s="101"/>
      <c r="J26" s="101"/>
      <c r="K26" s="101"/>
      <c r="L26" s="101"/>
      <c r="M26" s="101"/>
      <c r="N26" s="101"/>
      <c r="O26" s="101" t="s">
        <v>158</v>
      </c>
      <c r="P26" s="101">
        <f t="shared" si="0"/>
        <v>35591.939999999988</v>
      </c>
    </row>
    <row r="27" spans="1:16" x14ac:dyDescent="0.35">
      <c r="A27" s="105">
        <v>43646</v>
      </c>
      <c r="B27" s="101">
        <v>0.26</v>
      </c>
      <c r="C27" s="101" t="s">
        <v>103</v>
      </c>
      <c r="D27" s="148"/>
      <c r="E27" s="101"/>
      <c r="F27" s="101">
        <f>+B27</f>
        <v>0.26</v>
      </c>
      <c r="G27" s="101"/>
      <c r="H27" s="101"/>
      <c r="I27" s="101"/>
      <c r="J27" s="101"/>
      <c r="K27" s="101"/>
      <c r="L27" s="101"/>
      <c r="M27" s="101"/>
      <c r="N27" s="101"/>
      <c r="O27" s="101"/>
      <c r="P27" s="112">
        <f t="shared" si="0"/>
        <v>35592.19999999999</v>
      </c>
    </row>
    <row r="28" spans="1:16" x14ac:dyDescent="0.35">
      <c r="A28" s="105">
        <v>43659</v>
      </c>
      <c r="B28" s="101">
        <v>-519.30999999999995</v>
      </c>
      <c r="C28" s="101" t="s">
        <v>83</v>
      </c>
      <c r="D28" s="148">
        <v>2563</v>
      </c>
      <c r="E28" s="101"/>
      <c r="F28" s="101"/>
      <c r="G28" s="101"/>
      <c r="H28" s="101">
        <f>+B28</f>
        <v>-519.30999999999995</v>
      </c>
      <c r="I28" s="101"/>
      <c r="J28" s="101"/>
      <c r="K28" s="101"/>
      <c r="L28" s="101"/>
      <c r="M28" s="101"/>
      <c r="N28" s="101"/>
      <c r="O28" s="101"/>
      <c r="P28" s="101">
        <f t="shared" si="0"/>
        <v>35072.889999999992</v>
      </c>
    </row>
    <row r="29" spans="1:16" x14ac:dyDescent="0.35">
      <c r="A29" s="105">
        <v>43659</v>
      </c>
      <c r="B29" s="101">
        <v>-10.16</v>
      </c>
      <c r="C29" s="101" t="s">
        <v>85</v>
      </c>
      <c r="D29" s="148">
        <v>2564</v>
      </c>
      <c r="E29" s="101"/>
      <c r="F29" s="101"/>
      <c r="G29" s="101"/>
      <c r="H29" s="101"/>
      <c r="I29" s="101"/>
      <c r="J29" s="101">
        <f>+B29</f>
        <v>-10.16</v>
      </c>
      <c r="K29" s="101"/>
      <c r="L29" s="101"/>
      <c r="M29" s="101"/>
      <c r="N29" s="101"/>
      <c r="O29" s="101"/>
      <c r="P29" s="101">
        <f t="shared" si="0"/>
        <v>35062.729999999989</v>
      </c>
    </row>
    <row r="30" spans="1:16" x14ac:dyDescent="0.35">
      <c r="A30" s="105">
        <v>43677</v>
      </c>
      <c r="B30" s="101">
        <v>0.27</v>
      </c>
      <c r="C30" s="101" t="s">
        <v>103</v>
      </c>
      <c r="D30" s="148"/>
      <c r="E30" s="101"/>
      <c r="F30" s="101">
        <f>+B30</f>
        <v>0.27</v>
      </c>
      <c r="G30" s="101"/>
      <c r="H30" s="101"/>
      <c r="I30" s="101"/>
      <c r="J30" s="101"/>
      <c r="K30" s="101"/>
      <c r="L30" s="101"/>
      <c r="M30" s="101"/>
      <c r="N30" s="101"/>
      <c r="O30" s="101"/>
      <c r="P30" s="112">
        <f t="shared" si="0"/>
        <v>35062.999999999985</v>
      </c>
    </row>
    <row r="31" spans="1:16" x14ac:dyDescent="0.35">
      <c r="A31" s="105">
        <v>43690</v>
      </c>
      <c r="B31" s="101">
        <v>-1110.6099999999999</v>
      </c>
      <c r="C31" s="101" t="s">
        <v>83</v>
      </c>
      <c r="D31" s="148">
        <v>2565</v>
      </c>
      <c r="E31" s="101"/>
      <c r="F31" s="101"/>
      <c r="G31" s="101"/>
      <c r="H31" s="101"/>
      <c r="I31" s="101"/>
      <c r="J31" s="101"/>
      <c r="K31" s="101"/>
      <c r="L31" s="101"/>
      <c r="M31" s="101"/>
      <c r="N31" s="101">
        <f>+B31</f>
        <v>-1110.6099999999999</v>
      </c>
      <c r="O31" s="101" t="s">
        <v>161</v>
      </c>
      <c r="P31" s="101">
        <f t="shared" si="0"/>
        <v>33952.389999999985</v>
      </c>
    </row>
    <row r="32" spans="1:16" x14ac:dyDescent="0.35">
      <c r="A32" s="105">
        <v>43690</v>
      </c>
      <c r="B32" s="101">
        <v>-10.16</v>
      </c>
      <c r="C32" s="101" t="s">
        <v>85</v>
      </c>
      <c r="D32" s="148">
        <v>2566</v>
      </c>
      <c r="E32" s="101"/>
      <c r="F32" s="101"/>
      <c r="G32" s="101"/>
      <c r="H32" s="101"/>
      <c r="I32" s="101"/>
      <c r="J32" s="101">
        <f>+B32</f>
        <v>-10.16</v>
      </c>
      <c r="K32" s="101"/>
      <c r="L32" s="101"/>
      <c r="M32" s="101"/>
      <c r="N32" s="101"/>
      <c r="O32" s="101"/>
      <c r="P32" s="101">
        <f t="shared" si="0"/>
        <v>33942.229999999981</v>
      </c>
    </row>
    <row r="33" spans="1:16" x14ac:dyDescent="0.35">
      <c r="A33" s="105">
        <v>43702</v>
      </c>
      <c r="B33" s="101">
        <v>-805.5</v>
      </c>
      <c r="C33" s="101" t="s">
        <v>16</v>
      </c>
      <c r="D33" s="148">
        <v>2567</v>
      </c>
      <c r="E33" s="101"/>
      <c r="F33" s="101"/>
      <c r="G33" s="101"/>
      <c r="H33" s="101"/>
      <c r="I33" s="101">
        <f>+B33</f>
        <v>-805.5</v>
      </c>
      <c r="J33" s="101"/>
      <c r="K33" s="101"/>
      <c r="L33" s="101"/>
      <c r="M33" s="101"/>
      <c r="N33" s="101"/>
      <c r="O33" s="101"/>
      <c r="P33" s="101">
        <f t="shared" si="0"/>
        <v>33136.729999999981</v>
      </c>
    </row>
    <row r="34" spans="1:16" x14ac:dyDescent="0.35">
      <c r="A34" s="105">
        <v>43708</v>
      </c>
      <c r="B34" s="101">
        <v>0.27</v>
      </c>
      <c r="C34" s="101" t="s">
        <v>103</v>
      </c>
      <c r="D34" s="148"/>
      <c r="E34" s="101"/>
      <c r="F34" s="101">
        <f>+B34</f>
        <v>0.27</v>
      </c>
      <c r="G34" s="101"/>
      <c r="H34" s="101"/>
      <c r="I34" s="101"/>
      <c r="J34" s="101"/>
      <c r="K34" s="101"/>
      <c r="L34" s="101"/>
      <c r="M34" s="101"/>
      <c r="N34" s="101"/>
      <c r="O34" s="101"/>
      <c r="P34" s="112">
        <f t="shared" si="0"/>
        <v>33136.999999999978</v>
      </c>
    </row>
    <row r="35" spans="1:16" x14ac:dyDescent="0.35">
      <c r="A35" s="105">
        <v>43729</v>
      </c>
      <c r="B35" s="101">
        <v>-22.32</v>
      </c>
      <c r="C35" s="101" t="s">
        <v>85</v>
      </c>
      <c r="D35" s="148" t="s">
        <v>154</v>
      </c>
      <c r="E35" s="101"/>
      <c r="F35" s="101"/>
      <c r="G35" s="101"/>
      <c r="H35" s="101"/>
      <c r="I35" s="101"/>
      <c r="J35" s="101">
        <f>+B35</f>
        <v>-22.32</v>
      </c>
      <c r="K35" s="101"/>
      <c r="L35" s="101"/>
      <c r="M35" s="101"/>
      <c r="N35" s="101"/>
      <c r="O35" s="101"/>
      <c r="P35" s="101">
        <f t="shared" si="0"/>
        <v>33114.679999999978</v>
      </c>
    </row>
    <row r="36" spans="1:16" x14ac:dyDescent="0.35">
      <c r="A36" s="105">
        <v>43732</v>
      </c>
      <c r="B36" s="101">
        <v>-519.30999999999995</v>
      </c>
      <c r="C36" s="101" t="s">
        <v>83</v>
      </c>
      <c r="D36" s="148">
        <v>2568</v>
      </c>
      <c r="E36" s="101"/>
      <c r="F36" s="101"/>
      <c r="G36" s="101"/>
      <c r="H36" s="101">
        <f>+B36</f>
        <v>-519.30999999999995</v>
      </c>
      <c r="I36" s="101"/>
      <c r="J36" s="101"/>
      <c r="K36" s="101"/>
      <c r="L36" s="101"/>
      <c r="M36" s="101"/>
      <c r="N36" s="101"/>
      <c r="O36" s="101"/>
      <c r="P36" s="101">
        <f t="shared" si="0"/>
        <v>32595.369999999977</v>
      </c>
    </row>
    <row r="37" spans="1:16" x14ac:dyDescent="0.35">
      <c r="A37" s="105">
        <v>43738</v>
      </c>
      <c r="B37" s="101">
        <v>0.26</v>
      </c>
      <c r="C37" s="101" t="s">
        <v>103</v>
      </c>
      <c r="D37" s="148"/>
      <c r="E37" s="101"/>
      <c r="F37" s="101">
        <f>+B37</f>
        <v>0.26</v>
      </c>
      <c r="G37" s="101"/>
      <c r="H37" s="101"/>
      <c r="I37" s="101"/>
      <c r="J37" s="101"/>
      <c r="K37" s="101"/>
      <c r="L37" s="101"/>
      <c r="M37" s="101"/>
      <c r="N37" s="101"/>
      <c r="O37" s="101"/>
      <c r="P37" s="112">
        <f t="shared" si="0"/>
        <v>32595.629999999976</v>
      </c>
    </row>
    <row r="38" spans="1:16" x14ac:dyDescent="0.35">
      <c r="A38" s="105">
        <v>43751</v>
      </c>
      <c r="B38" s="101">
        <v>-5000</v>
      </c>
      <c r="C38" s="101" t="s">
        <v>109</v>
      </c>
      <c r="D38" s="148">
        <v>2750</v>
      </c>
      <c r="E38" s="101"/>
      <c r="F38" s="101"/>
      <c r="G38" s="101"/>
      <c r="H38" s="101"/>
      <c r="I38" s="101"/>
      <c r="J38" s="101"/>
      <c r="K38" s="101"/>
      <c r="L38" s="101"/>
      <c r="M38" s="101">
        <f>+B38</f>
        <v>-5000</v>
      </c>
      <c r="N38" s="101"/>
      <c r="O38" s="101"/>
      <c r="P38" s="101">
        <f t="shared" si="0"/>
        <v>27595.629999999976</v>
      </c>
    </row>
    <row r="39" spans="1:16" x14ac:dyDescent="0.35">
      <c r="A39" s="105">
        <v>43760</v>
      </c>
      <c r="B39" s="101">
        <v>-519.33000000000004</v>
      </c>
      <c r="C39" s="101" t="s">
        <v>83</v>
      </c>
      <c r="D39" s="148">
        <v>2751</v>
      </c>
      <c r="E39" s="101"/>
      <c r="F39" s="101"/>
      <c r="G39" s="101"/>
      <c r="H39" s="101">
        <f>+B39</f>
        <v>-519.33000000000004</v>
      </c>
      <c r="I39" s="101"/>
      <c r="J39" s="101"/>
      <c r="K39" s="101"/>
      <c r="L39" s="101"/>
      <c r="M39" s="101"/>
      <c r="N39" s="101"/>
      <c r="O39" s="101"/>
      <c r="P39" s="101">
        <f t="shared" si="0"/>
        <v>27076.299999999974</v>
      </c>
    </row>
    <row r="40" spans="1:16" x14ac:dyDescent="0.35">
      <c r="A40" s="105">
        <v>43760</v>
      </c>
      <c r="B40" s="101">
        <v>-30.53</v>
      </c>
      <c r="C40" s="101" t="s">
        <v>160</v>
      </c>
      <c r="D40" s="148">
        <v>2752</v>
      </c>
      <c r="E40" s="101"/>
      <c r="F40" s="101"/>
      <c r="G40" s="101"/>
      <c r="H40" s="101"/>
      <c r="I40" s="101"/>
      <c r="J40" s="101"/>
      <c r="K40" s="101"/>
      <c r="L40" s="101"/>
      <c r="M40" s="101"/>
      <c r="N40" s="101">
        <f>+B40</f>
        <v>-30.53</v>
      </c>
      <c r="O40" s="101" t="s">
        <v>156</v>
      </c>
      <c r="P40" s="101">
        <f t="shared" si="0"/>
        <v>27045.769999999975</v>
      </c>
    </row>
    <row r="41" spans="1:16" x14ac:dyDescent="0.35">
      <c r="A41" s="105">
        <v>43760</v>
      </c>
      <c r="B41" s="101">
        <v>-519.30999999999995</v>
      </c>
      <c r="C41" s="101" t="s">
        <v>83</v>
      </c>
      <c r="D41" s="148">
        <v>2754</v>
      </c>
      <c r="E41" s="101"/>
      <c r="F41" s="101"/>
      <c r="G41" s="101"/>
      <c r="H41" s="101">
        <f>+B41</f>
        <v>-519.30999999999995</v>
      </c>
      <c r="I41" s="107"/>
      <c r="J41" s="107"/>
      <c r="K41" s="107"/>
      <c r="L41" s="107"/>
      <c r="M41" s="107"/>
      <c r="N41" s="107"/>
      <c r="O41" s="101"/>
      <c r="P41" s="101">
        <f t="shared" si="0"/>
        <v>26526.459999999974</v>
      </c>
    </row>
    <row r="42" spans="1:16" x14ac:dyDescent="0.35">
      <c r="A42" s="105">
        <v>43761</v>
      </c>
      <c r="B42" s="101">
        <v>-56</v>
      </c>
      <c r="C42" s="101" t="s">
        <v>110</v>
      </c>
      <c r="D42" s="148">
        <v>2753</v>
      </c>
      <c r="E42" s="107"/>
      <c r="F42" s="107"/>
      <c r="G42" s="107"/>
      <c r="H42" s="107"/>
      <c r="I42" s="107"/>
      <c r="J42" s="107"/>
      <c r="K42" s="107"/>
      <c r="L42" s="107"/>
      <c r="M42" s="107"/>
      <c r="N42" s="101">
        <f>+B42</f>
        <v>-56</v>
      </c>
      <c r="O42" s="101"/>
      <c r="P42" s="101">
        <f t="shared" si="0"/>
        <v>26470.459999999974</v>
      </c>
    </row>
    <row r="43" spans="1:16" x14ac:dyDescent="0.35">
      <c r="A43" s="105">
        <v>43769</v>
      </c>
      <c r="B43" s="101">
        <v>0.27</v>
      </c>
      <c r="C43" s="101" t="s">
        <v>103</v>
      </c>
      <c r="D43" s="148"/>
      <c r="E43" s="101"/>
      <c r="F43" s="101">
        <f>+B43</f>
        <v>0.27</v>
      </c>
      <c r="G43" s="107"/>
      <c r="H43" s="107"/>
      <c r="I43" s="107"/>
      <c r="J43" s="107"/>
      <c r="K43" s="107"/>
      <c r="L43" s="107"/>
      <c r="M43" s="107"/>
      <c r="N43" s="101"/>
      <c r="O43" s="101"/>
      <c r="P43" s="112">
        <f t="shared" si="0"/>
        <v>26470.729999999974</v>
      </c>
    </row>
    <row r="44" spans="1:16" x14ac:dyDescent="0.35">
      <c r="A44" s="105">
        <v>43775</v>
      </c>
      <c r="B44" s="101">
        <v>-519.30999999999995</v>
      </c>
      <c r="C44" s="101" t="s">
        <v>83</v>
      </c>
      <c r="D44" s="148">
        <v>2569</v>
      </c>
      <c r="E44" s="101"/>
      <c r="F44" s="101"/>
      <c r="G44" s="101"/>
      <c r="H44" s="101">
        <f>+B44</f>
        <v>-519.30999999999995</v>
      </c>
      <c r="I44" s="107"/>
      <c r="J44" s="107"/>
      <c r="K44" s="107"/>
      <c r="L44" s="107"/>
      <c r="M44" s="107"/>
      <c r="N44" s="101"/>
      <c r="O44" s="101"/>
      <c r="P44" s="101">
        <f t="shared" si="0"/>
        <v>25951.419999999973</v>
      </c>
    </row>
    <row r="45" spans="1:16" x14ac:dyDescent="0.35">
      <c r="A45" s="105">
        <v>43799</v>
      </c>
      <c r="B45" s="101">
        <v>0.26</v>
      </c>
      <c r="C45" s="101" t="s">
        <v>103</v>
      </c>
      <c r="D45" s="148"/>
      <c r="E45" s="101"/>
      <c r="F45" s="101">
        <f>+B45</f>
        <v>0.26</v>
      </c>
      <c r="G45" s="107"/>
      <c r="H45" s="107"/>
      <c r="I45" s="107"/>
      <c r="J45" s="107"/>
      <c r="K45" s="107"/>
      <c r="L45" s="107"/>
      <c r="M45" s="107"/>
      <c r="N45" s="101"/>
      <c r="O45" s="101"/>
      <c r="P45" s="112">
        <f t="shared" si="0"/>
        <v>25951.679999999971</v>
      </c>
    </row>
    <row r="46" spans="1:16" x14ac:dyDescent="0.35">
      <c r="A46" s="105">
        <v>43813</v>
      </c>
      <c r="B46" s="101">
        <v>-100.6</v>
      </c>
      <c r="C46" s="101" t="s">
        <v>16</v>
      </c>
      <c r="D46" s="148">
        <v>2755</v>
      </c>
      <c r="E46" s="107"/>
      <c r="F46" s="107"/>
      <c r="G46" s="107"/>
      <c r="H46" s="107"/>
      <c r="I46" s="101">
        <f>+B46</f>
        <v>-100.6</v>
      </c>
      <c r="J46" s="107"/>
      <c r="K46" s="107"/>
      <c r="L46" s="107"/>
      <c r="M46" s="107"/>
      <c r="N46" s="101"/>
      <c r="O46" s="101"/>
      <c r="P46" s="101">
        <f t="shared" si="0"/>
        <v>25851.079999999973</v>
      </c>
    </row>
    <row r="47" spans="1:16" x14ac:dyDescent="0.35">
      <c r="A47" s="105">
        <v>43815</v>
      </c>
      <c r="B47" s="101">
        <v>-519.30999999999995</v>
      </c>
      <c r="C47" s="101" t="s">
        <v>83</v>
      </c>
      <c r="D47" s="148">
        <v>2756</v>
      </c>
      <c r="E47" s="101"/>
      <c r="F47" s="101"/>
      <c r="G47" s="101"/>
      <c r="H47" s="101">
        <f>+B47</f>
        <v>-519.30999999999995</v>
      </c>
      <c r="I47" s="107"/>
      <c r="J47" s="107"/>
      <c r="K47" s="107"/>
      <c r="L47" s="107"/>
      <c r="M47" s="107"/>
      <c r="N47" s="101"/>
      <c r="O47" s="101"/>
      <c r="P47" s="101">
        <f t="shared" si="0"/>
        <v>25331.769999999971</v>
      </c>
    </row>
    <row r="48" spans="1:16" x14ac:dyDescent="0.35">
      <c r="A48" s="105">
        <v>43830</v>
      </c>
      <c r="B48" s="107">
        <v>0.27</v>
      </c>
      <c r="C48" s="101" t="s">
        <v>103</v>
      </c>
      <c r="D48" s="148"/>
      <c r="E48" s="113"/>
      <c r="F48" s="113">
        <f>+B48</f>
        <v>0.27</v>
      </c>
      <c r="G48" s="114"/>
      <c r="H48" s="114"/>
      <c r="I48" s="114"/>
      <c r="J48" s="114"/>
      <c r="K48" s="114"/>
      <c r="L48" s="114"/>
      <c r="M48" s="114"/>
      <c r="N48" s="114"/>
      <c r="O48" s="101"/>
      <c r="P48" s="112">
        <f t="shared" si="0"/>
        <v>25332.039999999972</v>
      </c>
    </row>
    <row r="49" spans="2:16" x14ac:dyDescent="0.35">
      <c r="B49" s="101">
        <f>SUM(B6:B40)</f>
        <v>-1247.4499999999964</v>
      </c>
      <c r="C49" s="101"/>
      <c r="D49" s="101"/>
      <c r="E49" s="101">
        <f>SUM(E6:E48)</f>
        <v>10875</v>
      </c>
      <c r="F49" s="101">
        <f t="shared" ref="F49:N49" si="1">SUM(F6:F48)</f>
        <v>3.1700000000000004</v>
      </c>
      <c r="G49" s="101">
        <f t="shared" si="1"/>
        <v>0</v>
      </c>
      <c r="H49" s="101">
        <f t="shared" si="1"/>
        <v>-6276.739999999998</v>
      </c>
      <c r="I49" s="101">
        <f t="shared" si="1"/>
        <v>-1227.8699999999999</v>
      </c>
      <c r="J49" s="101">
        <f t="shared" si="1"/>
        <v>-103.6</v>
      </c>
      <c r="K49" s="101">
        <f t="shared" si="1"/>
        <v>0</v>
      </c>
      <c r="L49" s="101">
        <f t="shared" si="1"/>
        <v>-24</v>
      </c>
      <c r="M49" s="101">
        <f t="shared" si="1"/>
        <v>-5000</v>
      </c>
      <c r="N49" s="101">
        <f t="shared" si="1"/>
        <v>-1207.1399999999999</v>
      </c>
      <c r="O49" s="101">
        <f>SUM(E49:N49)</f>
        <v>-2961.1799999999976</v>
      </c>
      <c r="P49" s="101"/>
    </row>
    <row r="50" spans="2:16" x14ac:dyDescent="0.35">
      <c r="B50" s="101"/>
      <c r="C50" s="106" t="s">
        <v>90</v>
      </c>
      <c r="D50" s="106"/>
      <c r="E50" s="107">
        <v>375</v>
      </c>
      <c r="F50" s="107"/>
      <c r="G50" s="107"/>
      <c r="H50" s="101"/>
      <c r="I50" s="101"/>
      <c r="J50" s="101"/>
      <c r="K50" s="101"/>
      <c r="L50" s="101"/>
      <c r="M50" s="101"/>
      <c r="N50" s="101"/>
      <c r="O50" s="101">
        <f>+P2+O49</f>
        <v>25332.040000000005</v>
      </c>
      <c r="P50" s="101"/>
    </row>
    <row r="51" spans="2:16" x14ac:dyDescent="0.35">
      <c r="B51" s="101"/>
      <c r="C51" s="106" t="s">
        <v>89</v>
      </c>
      <c r="D51" s="106"/>
      <c r="E51" s="152">
        <f>+E49/E50</f>
        <v>29</v>
      </c>
      <c r="H51" s="101"/>
      <c r="I51" s="101"/>
      <c r="J51" s="101"/>
      <c r="K51" s="101"/>
      <c r="L51" s="101"/>
      <c r="M51" s="101"/>
      <c r="N51" s="101"/>
      <c r="O51" s="106">
        <f>+P48-O50</f>
        <v>-3.2741809263825417E-11</v>
      </c>
      <c r="P51" s="101">
        <f>+'2015 ByMo'!C26</f>
        <v>25332.040000000008</v>
      </c>
    </row>
    <row r="52" spans="2:16" x14ac:dyDescent="0.35">
      <c r="C52" s="106" t="s">
        <v>117</v>
      </c>
      <c r="D52" s="106"/>
      <c r="E52" s="153">
        <v>32</v>
      </c>
      <c r="O52" s="115" t="s">
        <v>127</v>
      </c>
      <c r="P52" s="101">
        <f>+P48-P51</f>
        <v>-3.637978807091713E-11</v>
      </c>
    </row>
    <row r="53" spans="2:16" x14ac:dyDescent="0.35">
      <c r="C53" s="106" t="s">
        <v>118</v>
      </c>
      <c r="D53" s="106"/>
      <c r="E53" s="154">
        <f>+E51-E52</f>
        <v>-3</v>
      </c>
    </row>
  </sheetData>
  <pageMargins left="0.7" right="0.7" top="0.75" bottom="0.75" header="0.3" footer="0.3"/>
  <pageSetup scale="64" orientation="landscape" horizontalDpi="4294967293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7" tint="-0.249977111117893"/>
    <pageSetUpPr fitToPage="1"/>
  </sheetPr>
  <dimension ref="A1:O36"/>
  <sheetViews>
    <sheetView zoomScale="89" zoomScaleNormal="89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B24" sqref="B24"/>
    </sheetView>
  </sheetViews>
  <sheetFormatPr defaultColWidth="8.6328125" defaultRowHeight="15.5" x14ac:dyDescent="0.35"/>
  <cols>
    <col min="1" max="1" width="14.6328125" style="1" customWidth="1"/>
    <col min="2" max="2" width="32.453125" style="1" customWidth="1"/>
    <col min="3" max="3" width="12.54296875" style="1" customWidth="1"/>
    <col min="4" max="6" width="11.6328125" style="9" customWidth="1"/>
    <col min="7" max="15" width="11.6328125" style="1" customWidth="1"/>
    <col min="16" max="16384" width="8.6328125" style="1"/>
  </cols>
  <sheetData>
    <row r="1" spans="1:15" ht="31.5" customHeight="1" x14ac:dyDescent="0.35">
      <c r="A1" s="522" t="s">
        <v>68</v>
      </c>
      <c r="B1" s="523"/>
      <c r="C1" s="35" t="s">
        <v>67</v>
      </c>
      <c r="D1" s="17" t="s">
        <v>31</v>
      </c>
      <c r="E1" s="17" t="s">
        <v>32</v>
      </c>
      <c r="F1" s="17" t="s">
        <v>33</v>
      </c>
      <c r="G1" s="15" t="s">
        <v>34</v>
      </c>
      <c r="H1" s="15" t="s">
        <v>35</v>
      </c>
      <c r="I1" s="15" t="s">
        <v>36</v>
      </c>
      <c r="J1" s="15" t="s">
        <v>37</v>
      </c>
      <c r="K1" s="15" t="s">
        <v>38</v>
      </c>
      <c r="L1" s="15" t="s">
        <v>39</v>
      </c>
      <c r="M1" s="15" t="s">
        <v>40</v>
      </c>
      <c r="N1" s="15" t="s">
        <v>51</v>
      </c>
      <c r="O1" s="15" t="s">
        <v>52</v>
      </c>
    </row>
    <row r="2" spans="1:15" x14ac:dyDescent="0.35">
      <c r="A2" s="37" t="s">
        <v>187</v>
      </c>
      <c r="B2" s="38"/>
      <c r="C2" s="39">
        <v>28293.22</v>
      </c>
      <c r="D2" s="40">
        <f>+C2</f>
        <v>28293.22</v>
      </c>
      <c r="E2" s="41">
        <f>+D26</f>
        <v>28293.49</v>
      </c>
      <c r="F2" s="41">
        <f t="shared" ref="F2:O2" si="0">+E26</f>
        <v>28165.210000000003</v>
      </c>
      <c r="G2" s="41">
        <f t="shared" si="0"/>
        <v>26607.550000000003</v>
      </c>
      <c r="H2" s="41">
        <f t="shared" si="0"/>
        <v>37348.320000000007</v>
      </c>
      <c r="I2" s="41">
        <f t="shared" si="0"/>
        <v>36299.810000000005</v>
      </c>
      <c r="J2" s="41">
        <f t="shared" si="0"/>
        <v>35592.200000000004</v>
      </c>
      <c r="K2" s="41">
        <f t="shared" si="0"/>
        <v>35063</v>
      </c>
      <c r="L2" s="41">
        <f t="shared" si="0"/>
        <v>33137</v>
      </c>
      <c r="M2" s="41">
        <f t="shared" si="0"/>
        <v>32595.63</v>
      </c>
      <c r="N2" s="41">
        <f t="shared" si="0"/>
        <v>26470.730000000003</v>
      </c>
      <c r="O2" s="41">
        <f t="shared" si="0"/>
        <v>25951.68</v>
      </c>
    </row>
    <row r="3" spans="1:15" x14ac:dyDescent="0.35">
      <c r="A3" s="3"/>
      <c r="B3" s="6"/>
      <c r="C3" s="32"/>
      <c r="D3" s="26"/>
      <c r="E3" s="26"/>
      <c r="F3" s="26"/>
      <c r="G3" s="26"/>
      <c r="H3" s="27"/>
      <c r="I3" s="27"/>
      <c r="J3" s="27"/>
      <c r="K3" s="27"/>
      <c r="L3" s="27"/>
      <c r="M3" s="27"/>
      <c r="N3" s="27"/>
      <c r="O3" s="27"/>
    </row>
    <row r="4" spans="1:15" x14ac:dyDescent="0.35">
      <c r="A4" s="24" t="s">
        <v>44</v>
      </c>
      <c r="B4" s="6"/>
      <c r="C4" s="32"/>
      <c r="D4" s="26"/>
      <c r="E4" s="26"/>
      <c r="F4" s="26"/>
      <c r="G4" s="26"/>
      <c r="H4" s="27"/>
      <c r="I4" s="27"/>
      <c r="J4" s="27"/>
      <c r="K4" s="27"/>
      <c r="L4" s="27"/>
      <c r="M4" s="27"/>
      <c r="N4" s="27"/>
      <c r="O4" s="27"/>
    </row>
    <row r="5" spans="1:15" x14ac:dyDescent="0.35">
      <c r="A5" s="1" t="s">
        <v>65</v>
      </c>
      <c r="C5" s="33">
        <f>SUM(D5:O5)</f>
        <v>10878.170000000004</v>
      </c>
      <c r="D5" s="52">
        <v>0.27</v>
      </c>
      <c r="E5" s="52">
        <v>0.24</v>
      </c>
      <c r="F5" s="52">
        <v>0.27</v>
      </c>
      <c r="G5" s="52">
        <f>10875+0.26</f>
        <v>10875.26</v>
      </c>
      <c r="H5" s="53">
        <v>0.27</v>
      </c>
      <c r="I5" s="53">
        <v>0.26</v>
      </c>
      <c r="J5" s="53">
        <v>0.27</v>
      </c>
      <c r="K5" s="53">
        <v>0.27</v>
      </c>
      <c r="L5" s="53">
        <v>0.26</v>
      </c>
      <c r="M5" s="53">
        <v>0.27</v>
      </c>
      <c r="N5" s="53">
        <v>0.26</v>
      </c>
      <c r="O5" s="53">
        <v>0.27</v>
      </c>
    </row>
    <row r="6" spans="1:15" x14ac:dyDescent="0.35">
      <c r="A6" s="95"/>
      <c r="C6" s="54">
        <f t="shared" ref="C6:O6" si="1">SUM(C5:C5)</f>
        <v>10878.170000000004</v>
      </c>
      <c r="D6" s="51">
        <f t="shared" si="1"/>
        <v>0.27</v>
      </c>
      <c r="E6" s="51">
        <f t="shared" si="1"/>
        <v>0.24</v>
      </c>
      <c r="F6" s="51">
        <f t="shared" si="1"/>
        <v>0.27</v>
      </c>
      <c r="G6" s="51">
        <f t="shared" si="1"/>
        <v>10875.26</v>
      </c>
      <c r="H6" s="51">
        <f t="shared" si="1"/>
        <v>0.27</v>
      </c>
      <c r="I6" s="51">
        <f t="shared" si="1"/>
        <v>0.26</v>
      </c>
      <c r="J6" s="51">
        <f t="shared" si="1"/>
        <v>0.27</v>
      </c>
      <c r="K6" s="51">
        <f t="shared" si="1"/>
        <v>0.27</v>
      </c>
      <c r="L6" s="51">
        <f t="shared" si="1"/>
        <v>0.26</v>
      </c>
      <c r="M6" s="51">
        <f t="shared" si="1"/>
        <v>0.27</v>
      </c>
      <c r="N6" s="51">
        <f t="shared" si="1"/>
        <v>0.26</v>
      </c>
      <c r="O6" s="51">
        <f t="shared" si="1"/>
        <v>0.27</v>
      </c>
    </row>
    <row r="7" spans="1:15" x14ac:dyDescent="0.35">
      <c r="C7" s="32"/>
      <c r="D7" s="50"/>
      <c r="E7" s="50"/>
      <c r="F7" s="50"/>
      <c r="G7" s="27"/>
      <c r="H7" s="27"/>
      <c r="I7" s="27"/>
      <c r="J7" s="27"/>
      <c r="K7" s="27"/>
      <c r="L7" s="27"/>
      <c r="M7" s="27"/>
      <c r="N7" s="27"/>
      <c r="O7" s="27"/>
    </row>
    <row r="8" spans="1:15" x14ac:dyDescent="0.35">
      <c r="A8" s="24" t="s">
        <v>3</v>
      </c>
      <c r="C8" s="32"/>
      <c r="D8" s="26"/>
      <c r="E8" s="26"/>
      <c r="F8" s="26"/>
      <c r="G8" s="27"/>
      <c r="H8" s="27"/>
      <c r="I8" s="27"/>
      <c r="J8" s="27"/>
      <c r="K8" s="27"/>
      <c r="L8" s="27"/>
      <c r="M8" s="27"/>
      <c r="N8" s="27"/>
      <c r="O8" s="27"/>
    </row>
    <row r="9" spans="1:15" x14ac:dyDescent="0.35">
      <c r="A9" s="1" t="s">
        <v>48</v>
      </c>
      <c r="B9" s="1" t="s">
        <v>5</v>
      </c>
      <c r="C9" s="32">
        <f>SUM(D9:O9)</f>
        <v>0</v>
      </c>
      <c r="D9" s="26">
        <v>0</v>
      </c>
      <c r="E9" s="26"/>
      <c r="F9" s="26"/>
      <c r="G9" s="26">
        <v>0</v>
      </c>
      <c r="H9" s="26"/>
      <c r="I9" s="26">
        <v>0</v>
      </c>
      <c r="J9" s="26"/>
      <c r="K9" s="26"/>
      <c r="L9" s="26"/>
      <c r="M9" s="26"/>
      <c r="N9" s="26"/>
      <c r="O9" s="26">
        <v>0</v>
      </c>
    </row>
    <row r="10" spans="1:15" x14ac:dyDescent="0.35">
      <c r="C10" s="32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</row>
    <row r="11" spans="1:15" x14ac:dyDescent="0.35">
      <c r="A11" s="1" t="s">
        <v>272</v>
      </c>
      <c r="B11" s="1" t="s">
        <v>273</v>
      </c>
      <c r="C11" s="32">
        <f>SUM(D11:O11)</f>
        <v>6231.739999999998</v>
      </c>
      <c r="D11" s="26">
        <v>0</v>
      </c>
      <c r="E11" s="26"/>
      <c r="F11" s="26">
        <f>519.31+1038.62</f>
        <v>1557.9299999999998</v>
      </c>
      <c r="G11" s="26"/>
      <c r="H11" s="26">
        <v>1038.6199999999999</v>
      </c>
      <c r="I11" s="26">
        <f>519.31</f>
        <v>519.30999999999995</v>
      </c>
      <c r="J11" s="26">
        <v>519.30999999999995</v>
      </c>
      <c r="K11" s="26"/>
      <c r="L11" s="26">
        <v>519.30999999999995</v>
      </c>
      <c r="M11" s="26">
        <f>519.33+519.31</f>
        <v>1038.6399999999999</v>
      </c>
      <c r="N11" s="26">
        <v>519.30999999999995</v>
      </c>
      <c r="O11" s="26">
        <v>519.30999999999995</v>
      </c>
    </row>
    <row r="12" spans="1:15" x14ac:dyDescent="0.35">
      <c r="B12" s="1" t="s">
        <v>277</v>
      </c>
      <c r="C12" s="32">
        <f>SUM(D12:O12)</f>
        <v>45</v>
      </c>
      <c r="D12" s="26"/>
      <c r="E12" s="26"/>
      <c r="F12" s="26"/>
      <c r="G12" s="26"/>
      <c r="H12" s="26"/>
      <c r="I12" s="26">
        <v>45</v>
      </c>
      <c r="J12" s="26"/>
      <c r="K12" s="26"/>
      <c r="L12" s="26"/>
      <c r="M12" s="26"/>
      <c r="N12" s="26"/>
      <c r="O12" s="26"/>
    </row>
    <row r="13" spans="1:15" x14ac:dyDescent="0.35">
      <c r="B13" s="1" t="s">
        <v>278</v>
      </c>
      <c r="C13" s="32">
        <f>SUM(D13:O13)</f>
        <v>6110.61</v>
      </c>
      <c r="D13" s="26"/>
      <c r="E13" s="26"/>
      <c r="F13" s="26"/>
      <c r="G13" s="26"/>
      <c r="H13" s="26"/>
      <c r="I13" s="26"/>
      <c r="J13" s="26"/>
      <c r="K13" s="26">
        <f>1110.61</f>
        <v>1110.6099999999999</v>
      </c>
      <c r="L13" s="26"/>
      <c r="M13" s="26">
        <v>5000</v>
      </c>
      <c r="N13" s="26"/>
      <c r="O13" s="26"/>
    </row>
    <row r="14" spans="1:15" x14ac:dyDescent="0.35">
      <c r="C14" s="32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</row>
    <row r="15" spans="1:15" x14ac:dyDescent="0.35">
      <c r="A15" s="1" t="s">
        <v>46</v>
      </c>
      <c r="B15" s="1" t="s">
        <v>253</v>
      </c>
      <c r="C15" s="32">
        <f>SUM(D15:O15)</f>
        <v>24</v>
      </c>
      <c r="D15" s="26">
        <v>0</v>
      </c>
      <c r="E15" s="26">
        <v>0</v>
      </c>
      <c r="F15" s="26">
        <v>0</v>
      </c>
      <c r="G15" s="28">
        <v>24</v>
      </c>
      <c r="H15" s="26">
        <v>0</v>
      </c>
      <c r="I15" s="26">
        <v>0</v>
      </c>
      <c r="J15" s="26">
        <v>0</v>
      </c>
      <c r="K15" s="26">
        <v>0</v>
      </c>
      <c r="L15" s="26">
        <v>0</v>
      </c>
      <c r="M15" s="26"/>
      <c r="N15" s="26"/>
      <c r="O15" s="26"/>
    </row>
    <row r="16" spans="1:15" x14ac:dyDescent="0.35">
      <c r="C16" s="32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</row>
    <row r="17" spans="1:15" x14ac:dyDescent="0.35">
      <c r="A17" s="1" t="s">
        <v>45</v>
      </c>
      <c r="B17" s="1" t="s">
        <v>16</v>
      </c>
      <c r="C17" s="32">
        <f>SUM(D17:O17)</f>
        <v>1227.8699999999999</v>
      </c>
      <c r="D17" s="26"/>
      <c r="E17" s="26">
        <v>98.04</v>
      </c>
      <c r="F17" s="26"/>
      <c r="G17" s="26">
        <v>100.33</v>
      </c>
      <c r="H17" s="26"/>
      <c r="I17" s="26">
        <v>123.4</v>
      </c>
      <c r="J17" s="26"/>
      <c r="K17" s="26">
        <v>805.5</v>
      </c>
      <c r="L17" s="26"/>
      <c r="M17" s="26"/>
      <c r="N17" s="26"/>
      <c r="O17" s="26">
        <v>100.6</v>
      </c>
    </row>
    <row r="18" spans="1:15" x14ac:dyDescent="0.35">
      <c r="B18" s="1" t="s">
        <v>17</v>
      </c>
      <c r="C18" s="32">
        <f>SUM(D18:O18)</f>
        <v>103.6</v>
      </c>
      <c r="D18" s="26"/>
      <c r="E18" s="26">
        <f>20.32+10.16</f>
        <v>30.48</v>
      </c>
      <c r="F18" s="26"/>
      <c r="G18" s="26">
        <v>10.16</v>
      </c>
      <c r="H18" s="26">
        <v>10.16</v>
      </c>
      <c r="I18" s="26">
        <v>10.16</v>
      </c>
      <c r="J18" s="26">
        <v>10.16</v>
      </c>
      <c r="K18" s="26">
        <v>10.16</v>
      </c>
      <c r="L18" s="26">
        <v>22.32</v>
      </c>
      <c r="M18" s="26"/>
      <c r="N18" s="26"/>
      <c r="O18" s="26"/>
    </row>
    <row r="19" spans="1:15" x14ac:dyDescent="0.35">
      <c r="C19" s="32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</row>
    <row r="20" spans="1:15" x14ac:dyDescent="0.35">
      <c r="A20" s="1" t="s">
        <v>56</v>
      </c>
      <c r="B20" s="1" t="s">
        <v>30</v>
      </c>
      <c r="C20" s="32">
        <f>SUM(D20:O20)</f>
        <v>0</v>
      </c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</row>
    <row r="21" spans="1:15" x14ac:dyDescent="0.35">
      <c r="B21" s="1" t="s">
        <v>264</v>
      </c>
      <c r="C21" s="32">
        <f>SUM(D21:O21)</f>
        <v>86.53</v>
      </c>
      <c r="D21" s="26"/>
      <c r="E21" s="26"/>
      <c r="F21" s="26"/>
      <c r="G21" s="26"/>
      <c r="H21" s="26"/>
      <c r="I21" s="26"/>
      <c r="J21" s="26"/>
      <c r="K21" s="26"/>
      <c r="L21" s="26"/>
      <c r="M21" s="26">
        <f>56+30.53</f>
        <v>86.53</v>
      </c>
      <c r="N21" s="26"/>
      <c r="O21" s="26"/>
    </row>
    <row r="22" spans="1:15" x14ac:dyDescent="0.35">
      <c r="B22" s="1" t="s">
        <v>22</v>
      </c>
      <c r="C22" s="32">
        <f>SUM(D22:O22)</f>
        <v>10</v>
      </c>
      <c r="D22" s="26"/>
      <c r="E22" s="26"/>
      <c r="F22" s="26"/>
      <c r="G22" s="26"/>
      <c r="H22" s="26"/>
      <c r="I22" s="26">
        <v>10</v>
      </c>
      <c r="J22" s="26"/>
      <c r="K22" s="26"/>
      <c r="L22" s="26"/>
      <c r="M22" s="26"/>
      <c r="N22" s="26"/>
      <c r="O22" s="26"/>
    </row>
    <row r="23" spans="1:15" x14ac:dyDescent="0.35">
      <c r="B23" s="1" t="s">
        <v>383</v>
      </c>
      <c r="C23" s="33">
        <f>SUM(D23:O23)</f>
        <v>0</v>
      </c>
      <c r="D23" s="29">
        <v>0</v>
      </c>
      <c r="E23" s="29">
        <v>0</v>
      </c>
      <c r="F23" s="29">
        <v>0</v>
      </c>
      <c r="G23" s="29">
        <v>0</v>
      </c>
      <c r="H23" s="29">
        <v>0</v>
      </c>
      <c r="I23" s="29">
        <v>0</v>
      </c>
      <c r="J23" s="29">
        <v>0</v>
      </c>
      <c r="K23" s="29">
        <v>0</v>
      </c>
      <c r="L23" s="29">
        <v>0</v>
      </c>
      <c r="M23" s="29">
        <v>0</v>
      </c>
      <c r="N23" s="29">
        <v>0</v>
      </c>
      <c r="O23" s="29">
        <v>0</v>
      </c>
    </row>
    <row r="24" spans="1:15" x14ac:dyDescent="0.35">
      <c r="A24" s="25" t="s">
        <v>24</v>
      </c>
      <c r="C24" s="34">
        <f t="shared" ref="C24:O24" si="2">SUM(C9:C23)</f>
        <v>13839.349999999999</v>
      </c>
      <c r="D24" s="30">
        <f t="shared" si="2"/>
        <v>0</v>
      </c>
      <c r="E24" s="30">
        <f t="shared" si="2"/>
        <v>128.52000000000001</v>
      </c>
      <c r="F24" s="30">
        <f t="shared" si="2"/>
        <v>1557.9299999999998</v>
      </c>
      <c r="G24" s="30">
        <f t="shared" si="2"/>
        <v>134.49</v>
      </c>
      <c r="H24" s="30">
        <f t="shared" si="2"/>
        <v>1048.78</v>
      </c>
      <c r="I24" s="30">
        <f t="shared" si="2"/>
        <v>707.86999999999989</v>
      </c>
      <c r="J24" s="30">
        <f t="shared" si="2"/>
        <v>529.46999999999991</v>
      </c>
      <c r="K24" s="30">
        <f t="shared" si="2"/>
        <v>1926.27</v>
      </c>
      <c r="L24" s="30">
        <f t="shared" si="2"/>
        <v>541.63</v>
      </c>
      <c r="M24" s="30">
        <f t="shared" si="2"/>
        <v>6125.1699999999992</v>
      </c>
      <c r="N24" s="30">
        <f t="shared" si="2"/>
        <v>519.30999999999995</v>
      </c>
      <c r="O24" s="30">
        <f t="shared" si="2"/>
        <v>619.91</v>
      </c>
    </row>
    <row r="25" spans="1:15" x14ac:dyDescent="0.35">
      <c r="C25" s="32"/>
      <c r="D25" s="10"/>
      <c r="E25" s="10"/>
      <c r="F25" s="10"/>
    </row>
    <row r="26" spans="1:15" ht="16" thickBot="1" x14ac:dyDescent="0.4">
      <c r="A26" s="37" t="s">
        <v>50</v>
      </c>
      <c r="B26" s="42"/>
      <c r="C26" s="55">
        <f t="shared" ref="C26:O26" si="3">+C2+C6-C24</f>
        <v>25332.040000000008</v>
      </c>
      <c r="D26" s="36">
        <f t="shared" si="3"/>
        <v>28293.49</v>
      </c>
      <c r="E26" s="36">
        <f t="shared" si="3"/>
        <v>28165.210000000003</v>
      </c>
      <c r="F26" s="36">
        <f t="shared" si="3"/>
        <v>26607.550000000003</v>
      </c>
      <c r="G26" s="36">
        <f t="shared" si="3"/>
        <v>37348.320000000007</v>
      </c>
      <c r="H26" s="36">
        <f t="shared" si="3"/>
        <v>36299.810000000005</v>
      </c>
      <c r="I26" s="36">
        <f t="shared" si="3"/>
        <v>35592.200000000004</v>
      </c>
      <c r="J26" s="36">
        <f t="shared" si="3"/>
        <v>35063</v>
      </c>
      <c r="K26" s="36">
        <f t="shared" si="3"/>
        <v>33137</v>
      </c>
      <c r="L26" s="36">
        <f t="shared" si="3"/>
        <v>32595.63</v>
      </c>
      <c r="M26" s="36">
        <f t="shared" si="3"/>
        <v>26470.730000000003</v>
      </c>
      <c r="N26" s="36">
        <f t="shared" si="3"/>
        <v>25951.68</v>
      </c>
      <c r="O26" s="36">
        <f t="shared" si="3"/>
        <v>25332.04</v>
      </c>
    </row>
    <row r="27" spans="1:15" x14ac:dyDescent="0.35">
      <c r="A27" s="3"/>
      <c r="C27" s="99"/>
    </row>
    <row r="28" spans="1:15" x14ac:dyDescent="0.35">
      <c r="A28"/>
      <c r="C28" s="23"/>
    </row>
    <row r="29" spans="1:15" x14ac:dyDescent="0.35">
      <c r="A29" s="31"/>
    </row>
    <row r="30" spans="1:15" x14ac:dyDescent="0.35">
      <c r="A30" s="1" t="s">
        <v>274</v>
      </c>
      <c r="B30" s="2"/>
      <c r="C30" s="281">
        <f>+C11</f>
        <v>6231.739999999998</v>
      </c>
      <c r="D30" s="283">
        <f t="shared" ref="D30:D36" si="4">+C30/32</f>
        <v>194.74187499999994</v>
      </c>
    </row>
    <row r="31" spans="1:15" x14ac:dyDescent="0.35">
      <c r="A31" s="1" t="s">
        <v>275</v>
      </c>
      <c r="B31" s="2"/>
      <c r="C31" s="281">
        <f>+C12</f>
        <v>45</v>
      </c>
      <c r="D31" s="283">
        <f t="shared" si="4"/>
        <v>1.40625</v>
      </c>
    </row>
    <row r="32" spans="1:15" x14ac:dyDescent="0.35">
      <c r="A32" s="1" t="s">
        <v>266</v>
      </c>
      <c r="B32" s="2"/>
      <c r="C32" s="281">
        <f>+C13</f>
        <v>6110.61</v>
      </c>
      <c r="D32" s="283">
        <f t="shared" si="4"/>
        <v>190.95656249999999</v>
      </c>
    </row>
    <row r="33" spans="1:4" x14ac:dyDescent="0.35">
      <c r="A33" s="1" t="s">
        <v>4</v>
      </c>
      <c r="B33" s="2"/>
      <c r="C33" s="281">
        <f>+C9</f>
        <v>0</v>
      </c>
      <c r="D33" s="283">
        <f t="shared" si="4"/>
        <v>0</v>
      </c>
    </row>
    <row r="34" spans="1:4" x14ac:dyDescent="0.35">
      <c r="A34" s="1" t="s">
        <v>15</v>
      </c>
      <c r="B34" s="2"/>
      <c r="C34" s="281">
        <f>+C17+C18</f>
        <v>1331.4699999999998</v>
      </c>
      <c r="D34" s="283">
        <f t="shared" si="4"/>
        <v>41.608437499999994</v>
      </c>
    </row>
    <row r="35" spans="1:4" x14ac:dyDescent="0.35">
      <c r="A35" s="1" t="s">
        <v>222</v>
      </c>
      <c r="B35" s="2"/>
      <c r="C35" s="282">
        <f>+C15+C20+C21+C22+C23</f>
        <v>120.53</v>
      </c>
      <c r="D35" s="284">
        <f t="shared" si="4"/>
        <v>3.7665625</v>
      </c>
    </row>
    <row r="36" spans="1:4" x14ac:dyDescent="0.35">
      <c r="B36" s="2"/>
      <c r="C36" s="281">
        <f>SUM(C30:C35)</f>
        <v>13839.349999999999</v>
      </c>
      <c r="D36" s="283">
        <f t="shared" si="4"/>
        <v>432.47968749999995</v>
      </c>
    </row>
  </sheetData>
  <mergeCells count="1">
    <mergeCell ref="A1:B1"/>
  </mergeCells>
  <conditionalFormatting sqref="C27:C28">
    <cfRule type="cellIs" dxfId="7" priority="1" operator="lessThan">
      <formula>0</formula>
    </cfRule>
  </conditionalFormatting>
  <pageMargins left="0.7" right="0.7" top="0.75" bottom="0.75" header="0.3" footer="0.3"/>
  <pageSetup scale="62" orientation="landscape" horizontalDpi="4294967293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0000"/>
    <pageSetUpPr fitToPage="1"/>
  </sheetPr>
  <dimension ref="A1:R107"/>
  <sheetViews>
    <sheetView topLeftCell="A4" zoomScaleNormal="100" workbookViewId="0">
      <selection activeCell="O21" sqref="O21"/>
    </sheetView>
  </sheetViews>
  <sheetFormatPr defaultRowHeight="14.5" x14ac:dyDescent="0.35"/>
  <cols>
    <col min="1" max="1" width="10" customWidth="1"/>
    <col min="2" max="2" width="11.6328125" customWidth="1"/>
    <col min="3" max="3" width="19.6328125" customWidth="1"/>
    <col min="4" max="4" width="8" customWidth="1"/>
    <col min="5" max="6" width="10.54296875" customWidth="1"/>
    <col min="7" max="7" width="8.90625" customWidth="1"/>
    <col min="8" max="8" width="9.90625" bestFit="1" customWidth="1"/>
    <col min="9" max="9" width="11" customWidth="1"/>
    <col min="13" max="13" width="11.6328125" customWidth="1"/>
    <col min="14" max="14" width="9.90625" bestFit="1" customWidth="1"/>
    <col min="15" max="15" width="18.54296875" customWidth="1"/>
    <col min="16" max="17" width="10.08984375" bestFit="1" customWidth="1"/>
  </cols>
  <sheetData>
    <row r="1" spans="1:17" ht="18.5" x14ac:dyDescent="0.45">
      <c r="A1" s="110">
        <v>2016</v>
      </c>
      <c r="B1" s="110" t="s">
        <v>92</v>
      </c>
      <c r="O1" s="115" t="s">
        <v>143</v>
      </c>
      <c r="P1" s="101">
        <f>+'2015 Ck Reg'!P48</f>
        <v>25332.039999999972</v>
      </c>
      <c r="Q1" s="101">
        <f>+P2-P1</f>
        <v>2.9103830456733704E-11</v>
      </c>
    </row>
    <row r="2" spans="1:17" x14ac:dyDescent="0.35">
      <c r="A2" t="s">
        <v>98</v>
      </c>
      <c r="P2" s="112">
        <v>25332.04</v>
      </c>
    </row>
    <row r="3" spans="1:17" x14ac:dyDescent="0.35">
      <c r="P3" s="101"/>
    </row>
    <row r="4" spans="1:17" x14ac:dyDescent="0.35">
      <c r="A4" s="109" t="s">
        <v>186</v>
      </c>
      <c r="P4" s="101"/>
    </row>
    <row r="5" spans="1:17" x14ac:dyDescent="0.35">
      <c r="A5" s="108" t="s">
        <v>76</v>
      </c>
      <c r="B5" s="109" t="s">
        <v>77</v>
      </c>
      <c r="C5" s="109" t="s">
        <v>106</v>
      </c>
      <c r="D5" s="108" t="s">
        <v>135</v>
      </c>
      <c r="E5" s="108" t="s">
        <v>78</v>
      </c>
      <c r="F5" s="108" t="s">
        <v>73</v>
      </c>
      <c r="G5" s="108" t="s">
        <v>94</v>
      </c>
      <c r="H5" s="108" t="s">
        <v>95</v>
      </c>
      <c r="I5" s="108" t="s">
        <v>79</v>
      </c>
      <c r="J5" s="108" t="s">
        <v>96</v>
      </c>
      <c r="K5" s="108" t="s">
        <v>80</v>
      </c>
      <c r="L5" s="108" t="s">
        <v>81</v>
      </c>
      <c r="M5" s="108" t="s">
        <v>107</v>
      </c>
      <c r="N5" s="108" t="s">
        <v>82</v>
      </c>
      <c r="O5" s="108" t="s">
        <v>97</v>
      </c>
      <c r="P5" s="111" t="s">
        <v>93</v>
      </c>
    </row>
    <row r="6" spans="1:17" x14ac:dyDescent="0.35">
      <c r="A6" s="116">
        <v>43470</v>
      </c>
      <c r="B6" s="101">
        <v>-10754.31</v>
      </c>
      <c r="C6" t="s">
        <v>112</v>
      </c>
      <c r="D6" s="148">
        <v>2757</v>
      </c>
      <c r="E6" s="118"/>
      <c r="F6" s="118"/>
      <c r="G6" s="118"/>
      <c r="H6" s="118"/>
      <c r="I6" s="118"/>
      <c r="J6" s="118"/>
      <c r="K6" s="118"/>
      <c r="L6" s="118"/>
      <c r="M6" s="118">
        <f>+B6</f>
        <v>-10754.31</v>
      </c>
      <c r="N6" s="111"/>
      <c r="O6" s="108"/>
      <c r="P6" s="118">
        <f>+P2+SUM(E6:N6)</f>
        <v>14577.730000000001</v>
      </c>
      <c r="Q6" s="101"/>
    </row>
    <row r="7" spans="1:17" x14ac:dyDescent="0.35">
      <c r="A7" s="116">
        <v>43478</v>
      </c>
      <c r="B7" s="101">
        <v>-519.30999999999995</v>
      </c>
      <c r="C7" t="s">
        <v>83</v>
      </c>
      <c r="D7" s="148">
        <v>2758</v>
      </c>
      <c r="E7" s="118"/>
      <c r="F7" s="118"/>
      <c r="G7" s="118"/>
      <c r="H7" s="118">
        <f>+B7</f>
        <v>-519.30999999999995</v>
      </c>
      <c r="I7" s="118"/>
      <c r="J7" s="118"/>
      <c r="K7" s="118"/>
      <c r="L7" s="118"/>
      <c r="M7" s="118"/>
      <c r="N7" s="118"/>
      <c r="O7" s="117"/>
      <c r="P7" s="118">
        <f>+P6+SUM(E7:N7)</f>
        <v>14058.420000000002</v>
      </c>
      <c r="Q7" s="101"/>
    </row>
    <row r="8" spans="1:17" x14ac:dyDescent="0.35">
      <c r="A8" s="105">
        <v>43487</v>
      </c>
      <c r="B8" s="101">
        <v>-156.22999999999999</v>
      </c>
      <c r="C8" s="101" t="s">
        <v>5</v>
      </c>
      <c r="D8" s="201" t="s">
        <v>154</v>
      </c>
      <c r="E8" s="101"/>
      <c r="F8" s="101"/>
      <c r="G8" s="101">
        <f>+B8</f>
        <v>-156.22999999999999</v>
      </c>
      <c r="H8" s="101"/>
      <c r="I8" s="101"/>
      <c r="J8" s="101"/>
      <c r="K8" s="101"/>
      <c r="L8" s="101"/>
      <c r="M8" s="101"/>
      <c r="N8" s="101"/>
      <c r="O8" s="101"/>
      <c r="P8" s="118">
        <f t="shared" ref="P8:P15" si="0">+P7+SUM(E8:N8)</f>
        <v>13902.190000000002</v>
      </c>
      <c r="Q8" s="101"/>
    </row>
    <row r="9" spans="1:17" x14ac:dyDescent="0.35">
      <c r="A9" s="105">
        <v>43494</v>
      </c>
      <c r="B9" s="101">
        <v>0.04</v>
      </c>
      <c r="C9" s="101" t="s">
        <v>103</v>
      </c>
      <c r="D9" s="201"/>
      <c r="E9" s="101"/>
      <c r="F9" s="101">
        <f>+B9</f>
        <v>0.04</v>
      </c>
      <c r="G9" s="101"/>
      <c r="H9" s="101"/>
      <c r="I9" s="101"/>
      <c r="J9" s="101"/>
      <c r="K9" s="101"/>
      <c r="L9" s="101"/>
      <c r="M9" s="101"/>
      <c r="N9" s="101"/>
      <c r="O9" s="101"/>
      <c r="P9" s="118">
        <f t="shared" si="0"/>
        <v>13902.230000000003</v>
      </c>
      <c r="Q9" s="101"/>
    </row>
    <row r="10" spans="1:17" x14ac:dyDescent="0.35">
      <c r="A10" s="105">
        <v>43494</v>
      </c>
      <c r="B10" s="101">
        <v>-10</v>
      </c>
      <c r="C10" s="101" t="s">
        <v>103</v>
      </c>
      <c r="D10" s="201"/>
      <c r="E10" s="101"/>
      <c r="F10" s="101"/>
      <c r="G10" s="101"/>
      <c r="H10" s="101"/>
      <c r="I10" s="101"/>
      <c r="J10" s="101"/>
      <c r="K10" s="101">
        <f>+B10</f>
        <v>-10</v>
      </c>
      <c r="L10" s="101"/>
      <c r="M10" s="101"/>
      <c r="N10" s="101"/>
      <c r="O10" s="101"/>
      <c r="P10" s="118">
        <f t="shared" si="0"/>
        <v>13892.230000000003</v>
      </c>
      <c r="Q10" s="101"/>
    </row>
    <row r="11" spans="1:17" x14ac:dyDescent="0.35">
      <c r="A11" s="105">
        <v>43496</v>
      </c>
      <c r="B11" s="101">
        <v>-35</v>
      </c>
      <c r="C11" s="101" t="s">
        <v>119</v>
      </c>
      <c r="D11" s="201"/>
      <c r="E11" s="101"/>
      <c r="F11" s="101"/>
      <c r="G11" s="101"/>
      <c r="H11" s="101"/>
      <c r="I11" s="101"/>
      <c r="J11" s="101"/>
      <c r="K11" s="101">
        <f>+B11</f>
        <v>-35</v>
      </c>
      <c r="L11" s="101"/>
      <c r="M11" s="101"/>
      <c r="N11" s="101"/>
      <c r="O11" s="101"/>
      <c r="P11" s="119">
        <f t="shared" si="0"/>
        <v>13857.230000000003</v>
      </c>
      <c r="Q11" s="101"/>
    </row>
    <row r="12" spans="1:17" x14ac:dyDescent="0.35">
      <c r="A12" s="105">
        <v>43498</v>
      </c>
      <c r="B12" s="101">
        <v>-12.16</v>
      </c>
      <c r="C12" s="101" t="s">
        <v>85</v>
      </c>
      <c r="D12" s="201" t="s">
        <v>154</v>
      </c>
      <c r="E12" s="101"/>
      <c r="F12" s="101"/>
      <c r="G12" s="101"/>
      <c r="H12" s="101"/>
      <c r="I12" s="101"/>
      <c r="J12" s="101">
        <f>+B12</f>
        <v>-12.16</v>
      </c>
      <c r="K12" s="101"/>
      <c r="L12" s="101"/>
      <c r="M12" s="101"/>
      <c r="N12" s="101"/>
      <c r="O12" s="101"/>
      <c r="P12" s="118">
        <f t="shared" si="0"/>
        <v>13845.070000000003</v>
      </c>
      <c r="Q12" s="101"/>
    </row>
    <row r="13" spans="1:17" x14ac:dyDescent="0.35">
      <c r="A13" s="105">
        <v>43513</v>
      </c>
      <c r="B13" s="101">
        <v>-104.55</v>
      </c>
      <c r="C13" s="101" t="s">
        <v>16</v>
      </c>
      <c r="D13" s="201" t="s">
        <v>154</v>
      </c>
      <c r="E13" s="101"/>
      <c r="F13" s="101"/>
      <c r="G13" s="101"/>
      <c r="H13" s="101"/>
      <c r="I13" s="101">
        <f>+B13</f>
        <v>-104.55</v>
      </c>
      <c r="J13" s="101"/>
      <c r="K13" s="101"/>
      <c r="L13" s="101"/>
      <c r="M13" s="101"/>
      <c r="N13" s="101"/>
      <c r="O13" s="101"/>
      <c r="P13" s="118">
        <f t="shared" si="0"/>
        <v>13740.520000000004</v>
      </c>
      <c r="Q13" s="101"/>
    </row>
    <row r="14" spans="1:17" x14ac:dyDescent="0.35">
      <c r="A14" s="105">
        <v>43518</v>
      </c>
      <c r="B14" s="101">
        <v>-10.16</v>
      </c>
      <c r="C14" s="101" t="s">
        <v>85</v>
      </c>
      <c r="D14" s="201">
        <v>2760</v>
      </c>
      <c r="E14" s="101"/>
      <c r="F14" s="101"/>
      <c r="G14" s="101"/>
      <c r="H14" s="101"/>
      <c r="I14" s="101"/>
      <c r="J14" s="101">
        <f>+B14</f>
        <v>-10.16</v>
      </c>
      <c r="K14" s="101"/>
      <c r="L14" s="101"/>
      <c r="M14" s="101"/>
      <c r="N14" s="101"/>
      <c r="O14" s="101"/>
      <c r="P14" s="118">
        <f t="shared" si="0"/>
        <v>13730.360000000004</v>
      </c>
      <c r="Q14" s="101"/>
    </row>
    <row r="15" spans="1:17" x14ac:dyDescent="0.35">
      <c r="A15" s="105">
        <v>43520</v>
      </c>
      <c r="B15" s="101">
        <v>-10.53</v>
      </c>
      <c r="C15" s="101" t="s">
        <v>5</v>
      </c>
      <c r="D15" s="201" t="s">
        <v>154</v>
      </c>
      <c r="E15" s="101"/>
      <c r="F15" s="101"/>
      <c r="G15" s="101">
        <f>+B15</f>
        <v>-10.53</v>
      </c>
      <c r="H15" s="101"/>
      <c r="I15" s="101"/>
      <c r="J15" s="101"/>
      <c r="K15" s="101"/>
      <c r="L15" s="101"/>
      <c r="M15" s="101"/>
      <c r="N15" s="101"/>
      <c r="O15" s="101"/>
      <c r="P15" s="118">
        <f t="shared" si="0"/>
        <v>13719.830000000004</v>
      </c>
      <c r="Q15" s="101"/>
    </row>
    <row r="16" spans="1:17" x14ac:dyDescent="0.35">
      <c r="A16" s="105">
        <v>43522</v>
      </c>
      <c r="B16" s="101">
        <v>-519.29999999999995</v>
      </c>
      <c r="C16" s="101" t="s">
        <v>83</v>
      </c>
      <c r="D16" s="201">
        <v>2759</v>
      </c>
      <c r="E16" s="101"/>
      <c r="F16" s="101"/>
      <c r="G16" s="101"/>
      <c r="H16" s="101">
        <f>+B16</f>
        <v>-519.29999999999995</v>
      </c>
      <c r="I16" s="101"/>
      <c r="J16" s="101"/>
      <c r="K16" s="101"/>
      <c r="L16" s="101"/>
      <c r="M16" s="101"/>
      <c r="N16" s="101"/>
      <c r="O16" s="101"/>
      <c r="P16" s="101">
        <f t="shared" ref="P16:P37" si="1">+P15+SUM(E16:N16)</f>
        <v>13200.530000000004</v>
      </c>
      <c r="Q16" s="101"/>
    </row>
    <row r="17" spans="1:17" x14ac:dyDescent="0.35">
      <c r="A17" s="105">
        <v>43524</v>
      </c>
      <c r="B17" s="101">
        <v>-10</v>
      </c>
      <c r="C17" s="101" t="s">
        <v>103</v>
      </c>
      <c r="D17" s="201"/>
      <c r="E17" s="101"/>
      <c r="F17" s="101"/>
      <c r="G17" s="101"/>
      <c r="H17" s="101"/>
      <c r="I17" s="101"/>
      <c r="J17" s="101"/>
      <c r="K17" s="101">
        <f>+B17</f>
        <v>-10</v>
      </c>
      <c r="L17" s="101"/>
      <c r="M17" s="101"/>
      <c r="N17" s="101"/>
      <c r="O17" s="101"/>
      <c r="P17" s="112">
        <f t="shared" si="1"/>
        <v>13190.530000000004</v>
      </c>
      <c r="Q17" s="101"/>
    </row>
    <row r="18" spans="1:17" x14ac:dyDescent="0.35">
      <c r="A18" s="105">
        <v>43528</v>
      </c>
      <c r="B18" s="101">
        <v>375</v>
      </c>
      <c r="C18" s="101" t="s">
        <v>78</v>
      </c>
      <c r="D18" s="201"/>
      <c r="E18" s="101">
        <f>+B18</f>
        <v>375</v>
      </c>
      <c r="F18" s="101"/>
      <c r="G18" s="101"/>
      <c r="H18" s="101"/>
      <c r="I18" s="101"/>
      <c r="J18" s="101"/>
      <c r="K18" s="101"/>
      <c r="L18" s="101"/>
      <c r="M18" s="101"/>
      <c r="N18" s="101"/>
      <c r="O18" s="101"/>
      <c r="P18" s="101">
        <f t="shared" si="1"/>
        <v>13565.530000000004</v>
      </c>
      <c r="Q18" s="101"/>
    </row>
    <row r="19" spans="1:17" x14ac:dyDescent="0.35">
      <c r="A19" s="105">
        <v>43531</v>
      </c>
      <c r="B19" s="101">
        <v>-56.67</v>
      </c>
      <c r="C19" s="101" t="s">
        <v>113</v>
      </c>
      <c r="D19" s="201" t="s">
        <v>154</v>
      </c>
      <c r="E19" s="101"/>
      <c r="F19" s="101"/>
      <c r="G19" s="101"/>
      <c r="H19" s="101"/>
      <c r="I19" s="101"/>
      <c r="J19" s="101"/>
      <c r="K19" s="101"/>
      <c r="L19" s="101"/>
      <c r="M19" s="101"/>
      <c r="N19" s="101">
        <f>+B19</f>
        <v>-56.67</v>
      </c>
      <c r="O19" s="101" t="s">
        <v>114</v>
      </c>
      <c r="P19" s="101">
        <f t="shared" si="1"/>
        <v>13508.860000000004</v>
      </c>
      <c r="Q19" s="101"/>
    </row>
    <row r="20" spans="1:17" x14ac:dyDescent="0.35">
      <c r="A20" s="105">
        <v>43538</v>
      </c>
      <c r="B20" s="101">
        <v>-29.4</v>
      </c>
      <c r="C20" s="101" t="s">
        <v>105</v>
      </c>
      <c r="D20" s="201" t="s">
        <v>154</v>
      </c>
      <c r="E20" s="101"/>
      <c r="F20" s="101"/>
      <c r="G20" s="101"/>
      <c r="H20" s="101"/>
      <c r="I20" s="101"/>
      <c r="J20" s="101"/>
      <c r="K20" s="101"/>
      <c r="L20" s="101"/>
      <c r="M20" s="101"/>
      <c r="N20" s="101">
        <f>+B20</f>
        <v>-29.4</v>
      </c>
      <c r="O20" s="101" t="s">
        <v>227</v>
      </c>
      <c r="P20" s="101">
        <f t="shared" si="1"/>
        <v>13479.460000000005</v>
      </c>
      <c r="Q20" s="101"/>
    </row>
    <row r="21" spans="1:17" x14ac:dyDescent="0.35">
      <c r="A21" s="105">
        <v>43546</v>
      </c>
      <c r="B21" s="101">
        <v>-519.29999999999995</v>
      </c>
      <c r="C21" s="101" t="s">
        <v>83</v>
      </c>
      <c r="D21" s="201">
        <v>2761</v>
      </c>
      <c r="E21" s="101"/>
      <c r="F21" s="101"/>
      <c r="G21" s="101"/>
      <c r="H21" s="101">
        <f>+B21</f>
        <v>-519.29999999999995</v>
      </c>
      <c r="I21" s="101"/>
      <c r="J21" s="101"/>
      <c r="K21" s="101"/>
      <c r="L21" s="101"/>
      <c r="M21" s="101"/>
      <c r="N21" s="101"/>
      <c r="O21" s="101"/>
      <c r="P21" s="101">
        <f t="shared" si="1"/>
        <v>12960.160000000005</v>
      </c>
      <c r="Q21" s="101"/>
    </row>
    <row r="22" spans="1:17" x14ac:dyDescent="0.35">
      <c r="A22" s="105">
        <v>43547</v>
      </c>
      <c r="B22" s="101">
        <v>-52.41</v>
      </c>
      <c r="C22" s="101" t="s">
        <v>5</v>
      </c>
      <c r="D22" s="201" t="s">
        <v>154</v>
      </c>
      <c r="E22" s="101"/>
      <c r="F22" s="101"/>
      <c r="G22" s="101">
        <f>+B22</f>
        <v>-52.41</v>
      </c>
      <c r="H22" s="101"/>
      <c r="I22" s="101"/>
      <c r="J22" s="101"/>
      <c r="K22" s="101"/>
      <c r="L22" s="101"/>
      <c r="M22" s="101"/>
      <c r="N22" s="101"/>
      <c r="O22" s="101"/>
      <c r="P22" s="101">
        <f t="shared" si="1"/>
        <v>12907.750000000005</v>
      </c>
      <c r="Q22" s="101"/>
    </row>
    <row r="23" spans="1:17" x14ac:dyDescent="0.35">
      <c r="A23" s="105">
        <v>43554</v>
      </c>
      <c r="B23" s="101">
        <v>4500</v>
      </c>
      <c r="C23" s="101" t="s">
        <v>78</v>
      </c>
      <c r="D23" s="201"/>
      <c r="E23" s="101">
        <f>+B23</f>
        <v>4500</v>
      </c>
      <c r="F23" s="101"/>
      <c r="G23" s="101"/>
      <c r="H23" s="101"/>
      <c r="I23" s="101"/>
      <c r="J23" s="101"/>
      <c r="K23" s="101"/>
      <c r="L23" s="101"/>
      <c r="M23" s="101"/>
      <c r="N23" s="101"/>
      <c r="O23" s="101"/>
      <c r="P23" s="101">
        <f t="shared" si="1"/>
        <v>17407.750000000007</v>
      </c>
      <c r="Q23" s="101"/>
    </row>
    <row r="24" spans="1:17" x14ac:dyDescent="0.35">
      <c r="A24" s="105">
        <v>43555</v>
      </c>
      <c r="B24" s="101">
        <v>-10</v>
      </c>
      <c r="C24" s="101" t="s">
        <v>103</v>
      </c>
      <c r="D24" s="201"/>
      <c r="E24" s="101"/>
      <c r="F24" s="101"/>
      <c r="G24" s="101"/>
      <c r="H24" s="101"/>
      <c r="I24" s="101"/>
      <c r="J24" s="101"/>
      <c r="K24" s="101">
        <f>+B24</f>
        <v>-10</v>
      </c>
      <c r="L24" s="101"/>
      <c r="M24" s="101"/>
      <c r="N24" s="101"/>
      <c r="O24" s="101"/>
      <c r="P24" s="112">
        <f t="shared" si="1"/>
        <v>17397.750000000007</v>
      </c>
      <c r="Q24" s="101"/>
    </row>
    <row r="25" spans="1:17" x14ac:dyDescent="0.35">
      <c r="A25" s="105">
        <v>43556</v>
      </c>
      <c r="B25" s="101">
        <v>-10.16</v>
      </c>
      <c r="C25" s="101" t="s">
        <v>85</v>
      </c>
      <c r="D25" s="201">
        <v>2762</v>
      </c>
      <c r="E25" s="101"/>
      <c r="F25" s="101"/>
      <c r="G25" s="101"/>
      <c r="H25" s="101"/>
      <c r="I25" s="101"/>
      <c r="J25" s="101">
        <f>+B25</f>
        <v>-10.16</v>
      </c>
      <c r="K25" s="101"/>
      <c r="L25" s="101"/>
      <c r="M25" s="101"/>
      <c r="N25" s="101"/>
      <c r="O25" s="101"/>
      <c r="P25" s="101">
        <f t="shared" si="1"/>
        <v>17387.590000000007</v>
      </c>
      <c r="Q25" s="101"/>
    </row>
    <row r="26" spans="1:17" x14ac:dyDescent="0.35">
      <c r="A26" s="105">
        <v>43561</v>
      </c>
      <c r="B26" s="101">
        <v>4125</v>
      </c>
      <c r="C26" s="101" t="s">
        <v>78</v>
      </c>
      <c r="D26" s="201"/>
      <c r="E26" s="101">
        <f>+B26</f>
        <v>4125</v>
      </c>
      <c r="F26" s="101"/>
      <c r="G26" s="101"/>
      <c r="H26" s="101"/>
      <c r="I26" s="101"/>
      <c r="J26" s="101"/>
      <c r="K26" s="101"/>
      <c r="L26" s="101"/>
      <c r="M26" s="101"/>
      <c r="N26" s="101"/>
      <c r="O26" s="101"/>
      <c r="P26" s="101">
        <f t="shared" si="1"/>
        <v>21512.590000000007</v>
      </c>
      <c r="Q26" s="101"/>
    </row>
    <row r="27" spans="1:17" x14ac:dyDescent="0.35">
      <c r="A27" s="105">
        <v>43562</v>
      </c>
      <c r="B27" s="101">
        <v>-102.88</v>
      </c>
      <c r="C27" s="101" t="s">
        <v>16</v>
      </c>
      <c r="D27" s="201">
        <v>2764</v>
      </c>
      <c r="E27" s="101"/>
      <c r="F27" s="101"/>
      <c r="G27" s="101"/>
      <c r="H27" s="101"/>
      <c r="I27" s="101">
        <f>+B27</f>
        <v>-102.88</v>
      </c>
      <c r="J27" s="101"/>
      <c r="K27" s="101"/>
      <c r="L27" s="101"/>
      <c r="M27" s="101"/>
      <c r="N27" s="101"/>
      <c r="O27" s="101"/>
      <c r="P27" s="101">
        <f t="shared" si="1"/>
        <v>21409.710000000006</v>
      </c>
      <c r="Q27" s="101"/>
    </row>
    <row r="28" spans="1:17" x14ac:dyDescent="0.35">
      <c r="A28" s="105">
        <v>43567</v>
      </c>
      <c r="B28" s="101">
        <v>-519.29999999999995</v>
      </c>
      <c r="C28" s="101" t="s">
        <v>83</v>
      </c>
      <c r="D28" s="201">
        <v>2763</v>
      </c>
      <c r="E28" s="101"/>
      <c r="F28" s="101"/>
      <c r="G28" s="101"/>
      <c r="H28" s="101">
        <f>+B28</f>
        <v>-519.29999999999995</v>
      </c>
      <c r="I28" s="101"/>
      <c r="J28" s="101"/>
      <c r="K28" s="101"/>
      <c r="L28" s="101"/>
      <c r="M28" s="101"/>
      <c r="N28" s="101"/>
      <c r="O28" s="101"/>
      <c r="P28" s="101">
        <f t="shared" si="1"/>
        <v>20890.410000000007</v>
      </c>
      <c r="Q28" s="101"/>
    </row>
    <row r="29" spans="1:17" x14ac:dyDescent="0.35">
      <c r="A29" s="105">
        <v>43574</v>
      </c>
      <c r="B29" s="101">
        <v>375</v>
      </c>
      <c r="C29" s="101" t="s">
        <v>78</v>
      </c>
      <c r="D29" s="201"/>
      <c r="E29" s="101">
        <f>+B29</f>
        <v>375</v>
      </c>
      <c r="F29" s="101"/>
      <c r="G29" s="101"/>
      <c r="H29" s="101"/>
      <c r="I29" s="101"/>
      <c r="J29" s="101"/>
      <c r="K29" s="101"/>
      <c r="L29" s="101"/>
      <c r="M29" s="101"/>
      <c r="N29" s="101"/>
      <c r="O29" s="101"/>
      <c r="P29" s="101">
        <f t="shared" si="1"/>
        <v>21265.410000000007</v>
      </c>
      <c r="Q29" s="101"/>
    </row>
    <row r="30" spans="1:17" x14ac:dyDescent="0.35">
      <c r="A30" s="105">
        <v>43577</v>
      </c>
      <c r="B30" s="101">
        <v>-52.41</v>
      </c>
      <c r="C30" s="101" t="s">
        <v>5</v>
      </c>
      <c r="D30" s="201" t="s">
        <v>154</v>
      </c>
      <c r="E30" s="101"/>
      <c r="F30" s="101"/>
      <c r="G30" s="101">
        <f>+B30</f>
        <v>-52.41</v>
      </c>
      <c r="H30" s="101"/>
      <c r="I30" s="101"/>
      <c r="J30" s="101"/>
      <c r="K30" s="101"/>
      <c r="L30" s="101"/>
      <c r="M30" s="101"/>
      <c r="N30" s="101"/>
      <c r="O30" s="101"/>
      <c r="P30" s="101">
        <f t="shared" si="1"/>
        <v>21213.000000000007</v>
      </c>
      <c r="Q30" s="101"/>
    </row>
    <row r="31" spans="1:17" x14ac:dyDescent="0.35">
      <c r="A31" s="105">
        <v>43577</v>
      </c>
      <c r="B31" s="101">
        <v>-9.4</v>
      </c>
      <c r="C31" s="101" t="s">
        <v>105</v>
      </c>
      <c r="D31" s="201" t="s">
        <v>154</v>
      </c>
      <c r="E31" s="101"/>
      <c r="F31" s="101"/>
      <c r="G31" s="101"/>
      <c r="H31" s="101"/>
      <c r="I31" s="101"/>
      <c r="J31" s="101"/>
      <c r="K31" s="101"/>
      <c r="L31" s="101"/>
      <c r="M31" s="101"/>
      <c r="N31" s="101">
        <f>+B31</f>
        <v>-9.4</v>
      </c>
      <c r="O31" s="101" t="s">
        <v>227</v>
      </c>
      <c r="P31" s="101">
        <f t="shared" si="1"/>
        <v>21203.600000000006</v>
      </c>
      <c r="Q31" s="101"/>
    </row>
    <row r="32" spans="1:17" x14ac:dyDescent="0.35">
      <c r="A32" s="105">
        <v>43580</v>
      </c>
      <c r="B32" s="101">
        <v>1875</v>
      </c>
      <c r="C32" s="101" t="s">
        <v>78</v>
      </c>
      <c r="D32" s="201"/>
      <c r="E32" s="101">
        <f>+B32</f>
        <v>1875</v>
      </c>
      <c r="F32" s="101"/>
      <c r="G32" s="101"/>
      <c r="H32" s="101"/>
      <c r="I32" s="101"/>
      <c r="J32" s="101"/>
      <c r="K32" s="101"/>
      <c r="L32" s="101"/>
      <c r="M32" s="101"/>
      <c r="N32" s="101"/>
      <c r="O32" s="101"/>
      <c r="P32" s="101">
        <f t="shared" si="1"/>
        <v>23078.600000000006</v>
      </c>
      <c r="Q32" s="101"/>
    </row>
    <row r="33" spans="1:17" x14ac:dyDescent="0.35">
      <c r="A33" s="105">
        <v>43582</v>
      </c>
      <c r="B33" s="101">
        <v>-10.16</v>
      </c>
      <c r="C33" s="101" t="s">
        <v>85</v>
      </c>
      <c r="D33" s="201">
        <v>2765</v>
      </c>
      <c r="E33" s="101"/>
      <c r="F33" s="101"/>
      <c r="G33" s="101"/>
      <c r="H33" s="101"/>
      <c r="I33" s="101"/>
      <c r="J33" s="101">
        <f>+B33</f>
        <v>-10.16</v>
      </c>
      <c r="K33" s="101"/>
      <c r="L33" s="101"/>
      <c r="M33" s="101"/>
      <c r="N33" s="101"/>
      <c r="O33" s="101"/>
      <c r="P33" s="112">
        <f t="shared" si="1"/>
        <v>23068.440000000006</v>
      </c>
      <c r="Q33" s="101"/>
    </row>
    <row r="34" spans="1:17" x14ac:dyDescent="0.35">
      <c r="A34" s="105">
        <v>43601</v>
      </c>
      <c r="B34" s="101">
        <v>1125</v>
      </c>
      <c r="C34" s="101" t="s">
        <v>78</v>
      </c>
      <c r="D34" s="201"/>
      <c r="E34" s="101">
        <f>+B34</f>
        <v>1125</v>
      </c>
      <c r="F34" s="101"/>
      <c r="G34" s="101"/>
      <c r="H34" s="101"/>
      <c r="I34" s="101"/>
      <c r="J34" s="101"/>
      <c r="K34" s="101"/>
      <c r="L34" s="101"/>
      <c r="M34" s="101"/>
      <c r="N34" s="101"/>
      <c r="O34" s="101"/>
      <c r="P34" s="101">
        <f t="shared" si="1"/>
        <v>24193.440000000006</v>
      </c>
      <c r="Q34" s="101"/>
    </row>
    <row r="35" spans="1:17" x14ac:dyDescent="0.35">
      <c r="A35" s="105">
        <v>43603</v>
      </c>
      <c r="B35" s="101">
        <v>-519.29999999999995</v>
      </c>
      <c r="C35" s="101" t="s">
        <v>83</v>
      </c>
      <c r="D35" s="201">
        <v>2766</v>
      </c>
      <c r="E35" s="101"/>
      <c r="F35" s="101"/>
      <c r="G35" s="101"/>
      <c r="H35" s="101">
        <f>+B35</f>
        <v>-519.29999999999995</v>
      </c>
      <c r="I35" s="101"/>
      <c r="J35" s="101"/>
      <c r="K35" s="101"/>
      <c r="L35" s="101"/>
      <c r="M35" s="101"/>
      <c r="N35" s="101"/>
      <c r="O35" s="101"/>
      <c r="P35" s="101">
        <f t="shared" si="1"/>
        <v>23674.140000000007</v>
      </c>
      <c r="Q35" s="101"/>
    </row>
    <row r="36" spans="1:17" x14ac:dyDescent="0.35">
      <c r="A36" s="105">
        <v>43608</v>
      </c>
      <c r="B36" s="101">
        <v>-52.41</v>
      </c>
      <c r="C36" s="101" t="s">
        <v>5</v>
      </c>
      <c r="D36" s="201" t="s">
        <v>154</v>
      </c>
      <c r="E36" s="101"/>
      <c r="F36" s="101"/>
      <c r="G36" s="101">
        <f>+B36</f>
        <v>-52.41</v>
      </c>
      <c r="H36" s="101"/>
      <c r="I36" s="101"/>
      <c r="J36" s="101"/>
      <c r="K36" s="101"/>
      <c r="L36" s="101"/>
      <c r="M36" s="101"/>
      <c r="N36" s="101"/>
      <c r="O36" s="101"/>
      <c r="P36" s="101">
        <f>+P35+SUM(E36:N36)</f>
        <v>23621.730000000007</v>
      </c>
      <c r="Q36" s="101"/>
    </row>
    <row r="37" spans="1:17" x14ac:dyDescent="0.35">
      <c r="A37" s="105">
        <v>43616</v>
      </c>
      <c r="B37" s="101">
        <v>29.96</v>
      </c>
      <c r="C37" s="101" t="s">
        <v>115</v>
      </c>
      <c r="D37" s="201"/>
      <c r="E37" s="101"/>
      <c r="F37" s="101"/>
      <c r="G37" s="101"/>
      <c r="H37" s="101"/>
      <c r="I37" s="101"/>
      <c r="J37" s="101"/>
      <c r="K37" s="101">
        <f>+B37</f>
        <v>29.96</v>
      </c>
      <c r="L37" s="101"/>
      <c r="M37" s="101"/>
      <c r="N37" s="101"/>
      <c r="O37" s="101"/>
      <c r="P37" s="112">
        <f t="shared" si="1"/>
        <v>23651.690000000006</v>
      </c>
      <c r="Q37" s="101"/>
    </row>
    <row r="38" spans="1:17" x14ac:dyDescent="0.35">
      <c r="A38" s="105">
        <v>43622</v>
      </c>
      <c r="B38" s="101">
        <v>375</v>
      </c>
      <c r="C38" s="101" t="s">
        <v>78</v>
      </c>
      <c r="D38" s="201"/>
      <c r="E38" s="101">
        <f>+B38</f>
        <v>375</v>
      </c>
      <c r="F38" s="101"/>
      <c r="G38" s="101"/>
      <c r="H38" s="101"/>
      <c r="I38" s="101"/>
      <c r="J38" s="101"/>
      <c r="K38" s="101"/>
      <c r="L38" s="101"/>
      <c r="M38" s="101"/>
      <c r="N38" s="101"/>
      <c r="O38" s="101"/>
      <c r="P38" s="101">
        <f>+P37+SUM(E38:N38)</f>
        <v>24026.690000000006</v>
      </c>
      <c r="Q38" s="101"/>
    </row>
    <row r="39" spans="1:17" x14ac:dyDescent="0.35">
      <c r="A39" s="105">
        <v>43623</v>
      </c>
      <c r="B39" s="101">
        <v>375</v>
      </c>
      <c r="C39" s="101" t="s">
        <v>78</v>
      </c>
      <c r="D39" s="201"/>
      <c r="E39" s="101">
        <f>+B39</f>
        <v>375</v>
      </c>
      <c r="F39" s="101"/>
      <c r="G39" s="101"/>
      <c r="H39" s="101"/>
      <c r="I39" s="101"/>
      <c r="J39" s="101"/>
      <c r="K39" s="101"/>
      <c r="L39" s="101"/>
      <c r="M39" s="101"/>
      <c r="N39" s="101"/>
      <c r="O39" s="101"/>
      <c r="P39" s="101">
        <f t="shared" ref="P39:P69" si="2">+P38+SUM(E39:N39)</f>
        <v>24401.690000000006</v>
      </c>
      <c r="Q39" s="101"/>
    </row>
    <row r="40" spans="1:17" x14ac:dyDescent="0.35">
      <c r="A40" s="105">
        <v>43624</v>
      </c>
      <c r="B40" s="101">
        <v>-10.16</v>
      </c>
      <c r="C40" s="101" t="s">
        <v>85</v>
      </c>
      <c r="D40" s="201">
        <v>2767</v>
      </c>
      <c r="E40" s="101"/>
      <c r="F40" s="101"/>
      <c r="G40" s="101"/>
      <c r="H40" s="101"/>
      <c r="I40" s="101"/>
      <c r="J40" s="101">
        <f>+B40</f>
        <v>-10.16</v>
      </c>
      <c r="K40" s="101"/>
      <c r="L40" s="101"/>
      <c r="M40" s="101"/>
      <c r="N40" s="101"/>
      <c r="O40" s="101"/>
      <c r="P40" s="101">
        <f t="shared" si="2"/>
        <v>24391.530000000006</v>
      </c>
      <c r="Q40" s="101"/>
    </row>
    <row r="41" spans="1:17" x14ac:dyDescent="0.35">
      <c r="A41" s="105">
        <v>43626</v>
      </c>
      <c r="B41" s="101">
        <v>-10</v>
      </c>
      <c r="C41" s="101" t="s">
        <v>147</v>
      </c>
      <c r="D41" s="201"/>
      <c r="E41" s="101"/>
      <c r="F41" s="101"/>
      <c r="G41" s="101"/>
      <c r="H41" s="101"/>
      <c r="I41" s="101"/>
      <c r="J41" s="101"/>
      <c r="K41" s="101"/>
      <c r="L41" s="101"/>
      <c r="M41" s="101"/>
      <c r="N41" s="101">
        <v>-10</v>
      </c>
      <c r="O41" s="101" t="s">
        <v>148</v>
      </c>
      <c r="P41" s="101">
        <f t="shared" si="2"/>
        <v>24381.530000000006</v>
      </c>
      <c r="Q41" s="101"/>
    </row>
    <row r="42" spans="1:17" x14ac:dyDescent="0.35">
      <c r="A42" s="105">
        <v>43636</v>
      </c>
      <c r="B42" s="101">
        <v>-103.21</v>
      </c>
      <c r="C42" s="101" t="s">
        <v>16</v>
      </c>
      <c r="D42" s="201">
        <v>2769</v>
      </c>
      <c r="E42" s="101"/>
      <c r="F42" s="101"/>
      <c r="G42" s="101"/>
      <c r="H42" s="101"/>
      <c r="I42" s="101">
        <f>+B42</f>
        <v>-103.21</v>
      </c>
      <c r="J42" s="101"/>
      <c r="K42" s="101"/>
      <c r="L42" s="101"/>
      <c r="M42" s="101"/>
      <c r="N42" s="101"/>
      <c r="O42" s="101"/>
      <c r="P42" s="101">
        <f t="shared" si="2"/>
        <v>24278.320000000007</v>
      </c>
      <c r="Q42" s="101"/>
    </row>
    <row r="43" spans="1:17" x14ac:dyDescent="0.35">
      <c r="A43" s="105">
        <v>43637</v>
      </c>
      <c r="B43" s="101">
        <v>-519.29999999999995</v>
      </c>
      <c r="C43" s="101" t="s">
        <v>83</v>
      </c>
      <c r="D43" s="201">
        <v>2767</v>
      </c>
      <c r="E43" s="101"/>
      <c r="F43" s="101"/>
      <c r="G43" s="101"/>
      <c r="H43" s="101">
        <f>+B43</f>
        <v>-519.29999999999995</v>
      </c>
      <c r="I43" s="101"/>
      <c r="J43" s="101"/>
      <c r="K43" s="101"/>
      <c r="L43" s="101"/>
      <c r="M43" s="101"/>
      <c r="N43" s="101"/>
      <c r="O43" s="101"/>
      <c r="P43" s="101">
        <f t="shared" si="2"/>
        <v>23759.020000000008</v>
      </c>
      <c r="Q43" s="101"/>
    </row>
    <row r="44" spans="1:17" x14ac:dyDescent="0.35">
      <c r="A44" s="105">
        <v>43637</v>
      </c>
      <c r="B44" s="101">
        <v>-45</v>
      </c>
      <c r="C44" s="101" t="s">
        <v>108</v>
      </c>
      <c r="D44" s="201"/>
      <c r="E44" s="101"/>
      <c r="F44" s="101"/>
      <c r="G44" s="101"/>
      <c r="H44" s="101">
        <f>+B44</f>
        <v>-45</v>
      </c>
      <c r="I44" s="101"/>
      <c r="J44" s="101"/>
      <c r="K44" s="101"/>
      <c r="L44" s="101"/>
      <c r="M44" s="101"/>
      <c r="N44" s="101"/>
      <c r="O44" s="101" t="s">
        <v>158</v>
      </c>
      <c r="P44" s="101">
        <f t="shared" si="2"/>
        <v>23714.020000000008</v>
      </c>
      <c r="Q44" s="101"/>
    </row>
    <row r="45" spans="1:17" x14ac:dyDescent="0.35">
      <c r="A45" s="105">
        <v>43638</v>
      </c>
      <c r="B45" s="101">
        <v>-52.41</v>
      </c>
      <c r="C45" s="101" t="s">
        <v>5</v>
      </c>
      <c r="D45" s="201" t="s">
        <v>154</v>
      </c>
      <c r="E45" s="101"/>
      <c r="F45" s="101"/>
      <c r="G45" s="101">
        <f>+B45</f>
        <v>-52.41</v>
      </c>
      <c r="H45" s="101"/>
      <c r="I45" s="101"/>
      <c r="J45" s="101"/>
      <c r="K45" s="101"/>
      <c r="L45" s="101"/>
      <c r="M45" s="101"/>
      <c r="N45" s="101"/>
      <c r="O45" s="101"/>
      <c r="P45" s="101">
        <f t="shared" si="2"/>
        <v>23661.610000000008</v>
      </c>
      <c r="Q45" s="101"/>
    </row>
    <row r="46" spans="1:17" x14ac:dyDescent="0.35">
      <c r="A46" s="105">
        <v>43646</v>
      </c>
      <c r="B46" s="101">
        <v>-78</v>
      </c>
      <c r="C46" s="101" t="s">
        <v>103</v>
      </c>
      <c r="D46" s="201"/>
      <c r="E46" s="101"/>
      <c r="F46" s="101"/>
      <c r="G46" s="101"/>
      <c r="H46" s="101"/>
      <c r="I46" s="101"/>
      <c r="J46" s="101"/>
      <c r="K46" s="101">
        <f>+B46</f>
        <v>-78</v>
      </c>
      <c r="L46" s="101"/>
      <c r="M46" s="101"/>
      <c r="N46" s="101"/>
      <c r="O46" s="101"/>
      <c r="P46" s="112">
        <f t="shared" si="2"/>
        <v>23583.610000000008</v>
      </c>
      <c r="Q46" s="101"/>
    </row>
    <row r="47" spans="1:17" x14ac:dyDescent="0.35">
      <c r="A47" s="105">
        <v>43647</v>
      </c>
      <c r="B47" s="101">
        <v>-10.16</v>
      </c>
      <c r="C47" s="101" t="s">
        <v>85</v>
      </c>
      <c r="D47" s="201">
        <v>1002</v>
      </c>
      <c r="E47" s="101"/>
      <c r="F47" s="101"/>
      <c r="G47" s="101"/>
      <c r="H47" s="101"/>
      <c r="I47" s="101"/>
      <c r="J47" s="101">
        <f>+B47</f>
        <v>-10.16</v>
      </c>
      <c r="K47" s="101"/>
      <c r="L47" s="101"/>
      <c r="M47" s="101"/>
      <c r="N47" s="101"/>
      <c r="O47" s="101"/>
      <c r="P47" s="101">
        <f t="shared" si="2"/>
        <v>23573.450000000008</v>
      </c>
      <c r="Q47" s="101"/>
    </row>
    <row r="48" spans="1:17" x14ac:dyDescent="0.35">
      <c r="A48" s="105">
        <v>43652</v>
      </c>
      <c r="B48" s="101">
        <v>-575.91999999999996</v>
      </c>
      <c r="C48" s="101" t="s">
        <v>83</v>
      </c>
      <c r="D48" s="201">
        <v>1001</v>
      </c>
      <c r="E48" s="101"/>
      <c r="F48" s="101"/>
      <c r="G48" s="101"/>
      <c r="H48" s="101">
        <f>+B48</f>
        <v>-575.91999999999996</v>
      </c>
      <c r="I48" s="101"/>
      <c r="J48" s="101"/>
      <c r="K48" s="101"/>
      <c r="L48" s="101"/>
      <c r="M48" s="101"/>
      <c r="N48" s="101"/>
      <c r="O48" s="101"/>
      <c r="P48" s="101">
        <f t="shared" si="2"/>
        <v>22997.53000000001</v>
      </c>
      <c r="Q48" s="101"/>
    </row>
    <row r="49" spans="1:18" x14ac:dyDescent="0.35">
      <c r="A49" s="105">
        <v>43668</v>
      </c>
      <c r="B49" s="101">
        <v>-52.41</v>
      </c>
      <c r="C49" s="101" t="s">
        <v>5</v>
      </c>
      <c r="D49" s="201" t="s">
        <v>154</v>
      </c>
      <c r="E49" s="101"/>
      <c r="F49" s="101"/>
      <c r="G49" s="101">
        <f>+B49</f>
        <v>-52.41</v>
      </c>
      <c r="H49" s="101"/>
      <c r="I49" s="101"/>
      <c r="J49" s="101"/>
      <c r="K49" s="101"/>
      <c r="L49" s="101"/>
      <c r="M49" s="101"/>
      <c r="N49" s="101"/>
      <c r="O49" s="101"/>
      <c r="P49" s="112">
        <f t="shared" si="2"/>
        <v>22945.12000000001</v>
      </c>
      <c r="Q49" s="101"/>
      <c r="R49" s="101"/>
    </row>
    <row r="50" spans="1:18" x14ac:dyDescent="0.35">
      <c r="A50" s="105">
        <v>43692</v>
      </c>
      <c r="B50" s="101">
        <v>-10.16</v>
      </c>
      <c r="C50" s="101" t="s">
        <v>85</v>
      </c>
      <c r="D50" s="201">
        <v>1004</v>
      </c>
      <c r="E50" s="101"/>
      <c r="F50" s="101"/>
      <c r="G50" s="101"/>
      <c r="H50" s="101"/>
      <c r="I50" s="101"/>
      <c r="J50" s="101">
        <f>+B50</f>
        <v>-10.16</v>
      </c>
      <c r="K50" s="101"/>
      <c r="L50" s="101"/>
      <c r="M50" s="101"/>
      <c r="N50" s="101"/>
      <c r="O50" s="101"/>
      <c r="P50" s="101">
        <f t="shared" si="2"/>
        <v>22934.96000000001</v>
      </c>
      <c r="Q50" s="101"/>
      <c r="R50" s="101"/>
    </row>
    <row r="51" spans="1:18" x14ac:dyDescent="0.35">
      <c r="A51" s="105">
        <v>43693</v>
      </c>
      <c r="B51" s="101">
        <v>-103.1</v>
      </c>
      <c r="C51" s="101" t="s">
        <v>16</v>
      </c>
      <c r="D51" s="201">
        <v>1005</v>
      </c>
      <c r="E51" s="101"/>
      <c r="F51" s="101"/>
      <c r="G51" s="101"/>
      <c r="H51" s="101"/>
      <c r="I51" s="101">
        <f>+B51</f>
        <v>-103.1</v>
      </c>
      <c r="J51" s="101"/>
      <c r="K51" s="101"/>
      <c r="L51" s="101"/>
      <c r="M51" s="101"/>
      <c r="N51" s="101"/>
      <c r="O51" s="101"/>
      <c r="P51" s="101">
        <f t="shared" si="2"/>
        <v>22831.860000000011</v>
      </c>
      <c r="Q51" s="101"/>
    </row>
    <row r="52" spans="1:18" x14ac:dyDescent="0.35">
      <c r="A52" s="105">
        <v>43693</v>
      </c>
      <c r="B52" s="101">
        <v>-575.91999999999996</v>
      </c>
      <c r="C52" s="101" t="s">
        <v>83</v>
      </c>
      <c r="D52" s="201">
        <v>1003</v>
      </c>
      <c r="E52" s="101"/>
      <c r="F52" s="101"/>
      <c r="G52" s="101"/>
      <c r="H52" s="101">
        <f>+B52</f>
        <v>-575.91999999999996</v>
      </c>
      <c r="I52" s="101"/>
      <c r="J52" s="101"/>
      <c r="K52" s="101"/>
      <c r="L52" s="101"/>
      <c r="M52" s="101"/>
      <c r="N52" s="101"/>
      <c r="O52" s="101"/>
      <c r="P52" s="101">
        <f t="shared" si="2"/>
        <v>22255.940000000013</v>
      </c>
      <c r="Q52" s="101"/>
    </row>
    <row r="53" spans="1:18" x14ac:dyDescent="0.35">
      <c r="A53" s="105">
        <v>43701</v>
      </c>
      <c r="B53" s="101">
        <v>-52.41</v>
      </c>
      <c r="C53" s="101" t="s">
        <v>5</v>
      </c>
      <c r="D53" s="201" t="s">
        <v>154</v>
      </c>
      <c r="E53" s="101"/>
      <c r="F53" s="101"/>
      <c r="G53" s="101">
        <f>+B53</f>
        <v>-52.41</v>
      </c>
      <c r="H53" s="101"/>
      <c r="I53" s="101"/>
      <c r="J53" s="101"/>
      <c r="K53" s="101"/>
      <c r="L53" s="101"/>
      <c r="M53" s="101"/>
      <c r="N53" s="101"/>
      <c r="O53" s="101"/>
      <c r="P53" s="112">
        <f t="shared" si="2"/>
        <v>22203.530000000013</v>
      </c>
      <c r="Q53" s="101"/>
    </row>
    <row r="54" spans="1:18" x14ac:dyDescent="0.35">
      <c r="A54" s="105">
        <v>43724</v>
      </c>
      <c r="B54" s="101">
        <v>-20.32</v>
      </c>
      <c r="C54" s="101" t="s">
        <v>85</v>
      </c>
      <c r="D54" s="201">
        <v>2772</v>
      </c>
      <c r="E54" s="101"/>
      <c r="F54" s="101"/>
      <c r="G54" s="101"/>
      <c r="H54" s="101"/>
      <c r="I54" s="101"/>
      <c r="J54" s="101">
        <f>+B54</f>
        <v>-20.32</v>
      </c>
      <c r="K54" s="101"/>
      <c r="L54" s="101"/>
      <c r="M54" s="101"/>
      <c r="N54" s="101"/>
      <c r="O54" s="101"/>
      <c r="P54" s="101">
        <f t="shared" si="2"/>
        <v>22183.210000000014</v>
      </c>
      <c r="Q54" s="101"/>
    </row>
    <row r="55" spans="1:18" x14ac:dyDescent="0.35">
      <c r="A55" s="105">
        <v>43729</v>
      </c>
      <c r="B55" s="101">
        <v>-575.91999999999996</v>
      </c>
      <c r="C55" s="101" t="s">
        <v>83</v>
      </c>
      <c r="D55" s="201">
        <v>2771</v>
      </c>
      <c r="E55" s="101"/>
      <c r="F55" s="101"/>
      <c r="G55" s="101"/>
      <c r="H55" s="101">
        <f>+B55</f>
        <v>-575.91999999999996</v>
      </c>
      <c r="I55" s="101"/>
      <c r="J55" s="101"/>
      <c r="K55" s="101"/>
      <c r="L55" s="101"/>
      <c r="M55" s="101"/>
      <c r="N55" s="101"/>
      <c r="O55" s="101"/>
      <c r="P55" s="101">
        <f t="shared" si="2"/>
        <v>21607.290000000015</v>
      </c>
      <c r="Q55" s="101"/>
    </row>
    <row r="56" spans="1:18" x14ac:dyDescent="0.35">
      <c r="A56" s="105">
        <v>43730</v>
      </c>
      <c r="B56" s="101">
        <v>-52.41</v>
      </c>
      <c r="C56" s="101" t="s">
        <v>5</v>
      </c>
      <c r="D56" s="201" t="s">
        <v>154</v>
      </c>
      <c r="E56" s="101"/>
      <c r="F56" s="101"/>
      <c r="G56" s="101">
        <f>+B56</f>
        <v>-52.41</v>
      </c>
      <c r="H56" s="101"/>
      <c r="I56" s="101"/>
      <c r="J56" s="101"/>
      <c r="K56" s="101"/>
      <c r="L56" s="101"/>
      <c r="M56" s="101"/>
      <c r="N56" s="101"/>
      <c r="O56" s="101"/>
      <c r="P56" s="112">
        <f t="shared" si="2"/>
        <v>21554.880000000016</v>
      </c>
      <c r="Q56" s="101"/>
    </row>
    <row r="57" spans="1:18" x14ac:dyDescent="0.35">
      <c r="A57" s="105">
        <v>43749</v>
      </c>
      <c r="B57" s="101">
        <v>-20.32</v>
      </c>
      <c r="C57" s="101" t="s">
        <v>85</v>
      </c>
      <c r="D57" s="201">
        <v>2774</v>
      </c>
      <c r="E57" s="101"/>
      <c r="F57" s="101"/>
      <c r="G57" s="101"/>
      <c r="H57" s="101"/>
      <c r="I57" s="101"/>
      <c r="J57" s="101">
        <f>+B57</f>
        <v>-20.32</v>
      </c>
      <c r="K57" s="101"/>
      <c r="L57" s="101"/>
      <c r="M57" s="101"/>
      <c r="N57" s="101"/>
      <c r="O57" s="101"/>
      <c r="P57" s="101">
        <f t="shared" si="2"/>
        <v>21534.560000000016</v>
      </c>
      <c r="Q57" s="101"/>
    </row>
    <row r="58" spans="1:18" x14ac:dyDescent="0.35">
      <c r="A58" s="105">
        <v>43749</v>
      </c>
      <c r="B58" s="101">
        <v>-575.91999999999996</v>
      </c>
      <c r="C58" s="101" t="s">
        <v>83</v>
      </c>
      <c r="D58" s="201">
        <v>2773</v>
      </c>
      <c r="E58" s="101"/>
      <c r="F58" s="101"/>
      <c r="G58" s="101"/>
      <c r="H58" s="101">
        <f>+B58</f>
        <v>-575.91999999999996</v>
      </c>
      <c r="I58" s="101"/>
      <c r="J58" s="101"/>
      <c r="K58" s="101"/>
      <c r="L58" s="101"/>
      <c r="M58" s="101"/>
      <c r="N58" s="101"/>
      <c r="O58" s="101"/>
      <c r="P58" s="101">
        <f t="shared" si="2"/>
        <v>20958.640000000018</v>
      </c>
      <c r="Q58" s="101"/>
    </row>
    <row r="59" spans="1:18" x14ac:dyDescent="0.35">
      <c r="A59" s="105">
        <v>43762</v>
      </c>
      <c r="B59" s="101">
        <v>-52.41</v>
      </c>
      <c r="C59" s="101" t="s">
        <v>5</v>
      </c>
      <c r="D59" s="201"/>
      <c r="E59" s="101"/>
      <c r="F59" s="101"/>
      <c r="G59" s="101">
        <f>+B59</f>
        <v>-52.41</v>
      </c>
      <c r="H59" s="101"/>
      <c r="I59" s="101"/>
      <c r="J59" s="101"/>
      <c r="K59" s="101"/>
      <c r="L59" s="101"/>
      <c r="M59" s="101"/>
      <c r="N59" s="101"/>
      <c r="O59" s="101"/>
      <c r="P59" s="101">
        <f t="shared" si="2"/>
        <v>20906.230000000018</v>
      </c>
      <c r="Q59" s="101"/>
    </row>
    <row r="60" spans="1:18" x14ac:dyDescent="0.35">
      <c r="A60" s="105">
        <v>43769</v>
      </c>
      <c r="B60" s="101">
        <v>-103.21</v>
      </c>
      <c r="C60" s="101" t="s">
        <v>16</v>
      </c>
      <c r="D60" s="201">
        <v>2775</v>
      </c>
      <c r="E60" s="101"/>
      <c r="F60" s="101"/>
      <c r="G60" s="101"/>
      <c r="H60" s="101"/>
      <c r="I60" s="101">
        <f>+B60</f>
        <v>-103.21</v>
      </c>
      <c r="J60" s="101"/>
      <c r="K60" s="101"/>
      <c r="L60" s="101"/>
      <c r="M60" s="101"/>
      <c r="N60" s="101"/>
      <c r="O60" s="101"/>
      <c r="P60" s="101">
        <f t="shared" si="2"/>
        <v>20803.020000000019</v>
      </c>
      <c r="Q60" s="101"/>
    </row>
    <row r="61" spans="1:18" x14ac:dyDescent="0.35">
      <c r="A61" s="105">
        <v>43769</v>
      </c>
      <c r="B61" s="101">
        <v>35</v>
      </c>
      <c r="C61" s="101" t="s">
        <v>103</v>
      </c>
      <c r="D61" s="201" t="s">
        <v>224</v>
      </c>
      <c r="E61" s="101"/>
      <c r="F61" s="101"/>
      <c r="G61" s="101"/>
      <c r="H61" s="101"/>
      <c r="I61" s="101"/>
      <c r="J61" s="101"/>
      <c r="K61" s="101">
        <f>+B61</f>
        <v>35</v>
      </c>
      <c r="L61" s="101"/>
      <c r="M61" s="101"/>
      <c r="N61" s="101"/>
      <c r="O61" s="101" t="s">
        <v>225</v>
      </c>
      <c r="P61" s="112">
        <f t="shared" si="2"/>
        <v>20838.020000000019</v>
      </c>
      <c r="Q61" s="101"/>
    </row>
    <row r="62" spans="1:18" x14ac:dyDescent="0.35">
      <c r="A62" s="105">
        <v>43770</v>
      </c>
      <c r="B62" s="101">
        <v>-60</v>
      </c>
      <c r="C62" s="101" t="s">
        <v>105</v>
      </c>
      <c r="D62" s="201">
        <v>2776</v>
      </c>
      <c r="E62" s="101"/>
      <c r="F62" s="101"/>
      <c r="G62" s="101"/>
      <c r="H62" s="101"/>
      <c r="I62" s="101"/>
      <c r="J62" s="101"/>
      <c r="K62" s="101"/>
      <c r="L62" s="101"/>
      <c r="M62" s="101"/>
      <c r="N62" s="101">
        <f>+B62</f>
        <v>-60</v>
      </c>
      <c r="O62" s="101" t="s">
        <v>137</v>
      </c>
      <c r="P62" s="101">
        <f t="shared" si="2"/>
        <v>20778.020000000019</v>
      </c>
      <c r="Q62" s="101"/>
    </row>
    <row r="63" spans="1:18" x14ac:dyDescent="0.35">
      <c r="A63" s="105">
        <v>43777</v>
      </c>
      <c r="B63" s="101">
        <v>375</v>
      </c>
      <c r="C63" s="101" t="s">
        <v>78</v>
      </c>
      <c r="D63" s="201"/>
      <c r="E63" s="101">
        <f>+B63</f>
        <v>375</v>
      </c>
      <c r="F63" s="101"/>
      <c r="G63" s="101"/>
      <c r="H63" s="101"/>
      <c r="I63" s="101"/>
      <c r="J63" s="101"/>
      <c r="K63" s="101"/>
      <c r="L63" s="101"/>
      <c r="M63" s="101"/>
      <c r="N63" s="101"/>
      <c r="O63" s="101"/>
      <c r="P63" s="101">
        <f t="shared" si="2"/>
        <v>21153.020000000019</v>
      </c>
      <c r="Q63" s="101"/>
    </row>
    <row r="64" spans="1:18" x14ac:dyDescent="0.35">
      <c r="A64" s="105">
        <v>43784</v>
      </c>
      <c r="B64" s="101">
        <v>-575.91999999999996</v>
      </c>
      <c r="C64" s="101" t="s">
        <v>83</v>
      </c>
      <c r="D64" s="201">
        <v>1006</v>
      </c>
      <c r="E64" s="101"/>
      <c r="F64" s="101"/>
      <c r="G64" s="101"/>
      <c r="H64" s="101">
        <f>+B64</f>
        <v>-575.91999999999996</v>
      </c>
      <c r="I64" s="101"/>
      <c r="J64" s="101"/>
      <c r="K64" s="101"/>
      <c r="L64" s="101"/>
      <c r="M64" s="101"/>
      <c r="N64" s="101"/>
      <c r="O64" s="101"/>
      <c r="P64" s="101">
        <f t="shared" si="2"/>
        <v>20577.10000000002</v>
      </c>
      <c r="Q64" s="101"/>
    </row>
    <row r="65" spans="1:17" x14ac:dyDescent="0.35">
      <c r="A65" s="105">
        <v>43792</v>
      </c>
      <c r="B65" s="101">
        <v>-52.41</v>
      </c>
      <c r="C65" s="101" t="s">
        <v>5</v>
      </c>
      <c r="D65" s="201" t="s">
        <v>154</v>
      </c>
      <c r="E65" s="101"/>
      <c r="F65" s="101"/>
      <c r="G65" s="101">
        <f>+B65</f>
        <v>-52.41</v>
      </c>
      <c r="H65" s="101"/>
      <c r="I65" s="101"/>
      <c r="J65" s="101"/>
      <c r="K65" s="101"/>
      <c r="L65" s="101"/>
      <c r="M65" s="101"/>
      <c r="N65" s="101"/>
      <c r="O65" s="101"/>
      <c r="P65" s="112">
        <f t="shared" si="2"/>
        <v>20524.690000000021</v>
      </c>
      <c r="Q65" s="101"/>
    </row>
    <row r="66" spans="1:17" x14ac:dyDescent="0.35">
      <c r="A66" s="105">
        <v>43819</v>
      </c>
      <c r="B66" s="101">
        <v>-103.1</v>
      </c>
      <c r="C66" s="101" t="s">
        <v>16</v>
      </c>
      <c r="D66" s="201">
        <v>1008</v>
      </c>
      <c r="E66" s="101"/>
      <c r="F66" s="101"/>
      <c r="G66" s="101"/>
      <c r="H66" s="101"/>
      <c r="I66" s="101">
        <f>+B66</f>
        <v>-103.1</v>
      </c>
      <c r="J66" s="101"/>
      <c r="K66" s="101"/>
      <c r="L66" s="101"/>
      <c r="M66" s="101"/>
      <c r="N66" s="101"/>
      <c r="O66" s="101"/>
      <c r="P66" s="101">
        <f t="shared" si="2"/>
        <v>20421.590000000022</v>
      </c>
      <c r="Q66" s="101"/>
    </row>
    <row r="67" spans="1:17" x14ac:dyDescent="0.35">
      <c r="A67" s="105">
        <v>43819</v>
      </c>
      <c r="B67" s="101">
        <v>-575.91999999999996</v>
      </c>
      <c r="C67" s="101" t="s">
        <v>83</v>
      </c>
      <c r="D67" s="201">
        <v>1007</v>
      </c>
      <c r="E67" s="101"/>
      <c r="F67" s="101"/>
      <c r="G67" s="101"/>
      <c r="H67" s="101">
        <f>+B67</f>
        <v>-575.91999999999996</v>
      </c>
      <c r="I67" s="101"/>
      <c r="J67" s="101"/>
      <c r="K67" s="101"/>
      <c r="L67" s="101"/>
      <c r="M67" s="101"/>
      <c r="N67" s="101"/>
      <c r="O67" s="101"/>
      <c r="P67" s="101">
        <f t="shared" si="2"/>
        <v>19845.670000000024</v>
      </c>
      <c r="Q67" s="101"/>
    </row>
    <row r="68" spans="1:17" x14ac:dyDescent="0.35">
      <c r="A68" s="105">
        <v>43821</v>
      </c>
      <c r="B68" s="101">
        <v>-52.41</v>
      </c>
      <c r="C68" s="101" t="s">
        <v>5</v>
      </c>
      <c r="D68" s="201" t="s">
        <v>154</v>
      </c>
      <c r="E68" s="101"/>
      <c r="F68" s="101"/>
      <c r="G68" s="101">
        <f>+B68</f>
        <v>-52.41</v>
      </c>
      <c r="H68" s="101"/>
      <c r="I68" s="101"/>
      <c r="J68" s="101"/>
      <c r="K68" s="101"/>
      <c r="L68" s="101"/>
      <c r="M68" s="101"/>
      <c r="N68" s="101"/>
      <c r="O68" s="101"/>
      <c r="P68" s="101">
        <f t="shared" si="2"/>
        <v>19793.260000000024</v>
      </c>
      <c r="Q68" s="101"/>
    </row>
    <row r="69" spans="1:17" x14ac:dyDescent="0.35">
      <c r="A69" s="105">
        <v>43829</v>
      </c>
      <c r="B69" s="107">
        <v>-10.16</v>
      </c>
      <c r="C69" s="101" t="s">
        <v>85</v>
      </c>
      <c r="D69" s="201">
        <v>1009</v>
      </c>
      <c r="E69" s="107"/>
      <c r="F69" s="107"/>
      <c r="G69" s="107"/>
      <c r="H69" s="107"/>
      <c r="I69" s="107"/>
      <c r="J69" s="107">
        <f>+B69</f>
        <v>-10.16</v>
      </c>
      <c r="K69" s="107"/>
      <c r="L69" s="107"/>
      <c r="M69" s="107"/>
      <c r="N69" s="107"/>
      <c r="O69" s="101"/>
      <c r="P69" s="112">
        <f t="shared" si="2"/>
        <v>19783.100000000024</v>
      </c>
      <c r="Q69" s="101">
        <v>19783.099999999999</v>
      </c>
    </row>
    <row r="70" spans="1:17" x14ac:dyDescent="0.35">
      <c r="B70" s="101">
        <f>SUM(B6:B69)</f>
        <v>-5548.9399999999941</v>
      </c>
      <c r="C70" s="101"/>
      <c r="D70" s="101"/>
      <c r="E70" s="101">
        <f t="shared" ref="E70:N70" si="3">SUM(E6:E69)</f>
        <v>13500</v>
      </c>
      <c r="F70" s="101">
        <f t="shared" si="3"/>
        <v>0.04</v>
      </c>
      <c r="G70" s="101">
        <f t="shared" si="3"/>
        <v>-690.85999999999979</v>
      </c>
      <c r="H70" s="101">
        <f t="shared" si="3"/>
        <v>-6616.3300000000008</v>
      </c>
      <c r="I70" s="101">
        <f t="shared" si="3"/>
        <v>-620.05000000000007</v>
      </c>
      <c r="J70" s="101">
        <f t="shared" si="3"/>
        <v>-123.91999999999999</v>
      </c>
      <c r="K70" s="101">
        <f t="shared" si="3"/>
        <v>-78.039999999999992</v>
      </c>
      <c r="L70" s="101">
        <f t="shared" si="3"/>
        <v>0</v>
      </c>
      <c r="M70" s="101">
        <f t="shared" si="3"/>
        <v>-10754.31</v>
      </c>
      <c r="N70" s="101">
        <f t="shared" si="3"/>
        <v>-165.47</v>
      </c>
      <c r="O70" s="101">
        <f>SUM(E70:N70)</f>
        <v>-5548.9400000000005</v>
      </c>
      <c r="P70" s="101"/>
    </row>
    <row r="71" spans="1:17" x14ac:dyDescent="0.35">
      <c r="B71" s="101"/>
      <c r="D71" s="106" t="s">
        <v>90</v>
      </c>
      <c r="E71" s="107">
        <v>375</v>
      </c>
      <c r="F71" s="107"/>
      <c r="H71" s="101"/>
      <c r="I71" s="101"/>
      <c r="J71" s="101"/>
      <c r="K71" s="101"/>
      <c r="L71" s="101"/>
      <c r="M71" s="101"/>
      <c r="N71" s="106" t="s">
        <v>127</v>
      </c>
      <c r="O71" s="101">
        <f>+P2+O70</f>
        <v>19783.099999999999</v>
      </c>
      <c r="P71" s="101"/>
    </row>
    <row r="72" spans="1:17" x14ac:dyDescent="0.35">
      <c r="B72" s="101"/>
      <c r="D72" s="106" t="s">
        <v>89</v>
      </c>
      <c r="E72" s="152">
        <f>+E70/E71</f>
        <v>36</v>
      </c>
      <c r="H72" s="101"/>
      <c r="I72" s="101"/>
      <c r="J72" s="101"/>
      <c r="K72" s="101"/>
      <c r="L72" s="101"/>
      <c r="M72" s="101"/>
      <c r="N72" s="101"/>
      <c r="O72" s="106">
        <f>+P69-O71</f>
        <v>0</v>
      </c>
      <c r="P72" s="101">
        <f>+'2016 ByMo'!C27</f>
        <v>19783.100000000002</v>
      </c>
    </row>
    <row r="73" spans="1:17" x14ac:dyDescent="0.35">
      <c r="D73" s="106" t="s">
        <v>117</v>
      </c>
      <c r="E73" s="153">
        <v>32</v>
      </c>
      <c r="O73" s="115" t="s">
        <v>127</v>
      </c>
      <c r="P73" s="101">
        <f>+P69-P72</f>
        <v>0</v>
      </c>
    </row>
    <row r="74" spans="1:17" x14ac:dyDescent="0.35">
      <c r="D74" s="106" t="s">
        <v>118</v>
      </c>
      <c r="E74" s="154">
        <f>+E72-E73</f>
        <v>4</v>
      </c>
    </row>
    <row r="75" spans="1:17" x14ac:dyDescent="0.35">
      <c r="D75" s="106"/>
      <c r="E75" s="154"/>
    </row>
    <row r="76" spans="1:17" ht="15.5" x14ac:dyDescent="0.35">
      <c r="A76" s="1"/>
    </row>
    <row r="77" spans="1:17" ht="15.5" x14ac:dyDescent="0.35">
      <c r="A77" s="1"/>
    </row>
    <row r="78" spans="1:17" ht="15.5" x14ac:dyDescent="0.35">
      <c r="A78" s="261"/>
    </row>
    <row r="79" spans="1:17" x14ac:dyDescent="0.35">
      <c r="A79" s="109"/>
      <c r="B79" s="108"/>
      <c r="C79" s="108"/>
      <c r="D79" s="111"/>
    </row>
    <row r="80" spans="1:17" x14ac:dyDescent="0.35">
      <c r="A80" s="105"/>
      <c r="B80" s="101"/>
      <c r="C80" s="105"/>
      <c r="D80" s="201"/>
    </row>
    <row r="81" spans="1:4" x14ac:dyDescent="0.35">
      <c r="A81" s="105"/>
      <c r="B81" s="101"/>
      <c r="C81" s="105"/>
      <c r="D81" s="201"/>
    </row>
    <row r="82" spans="1:4" x14ac:dyDescent="0.35">
      <c r="A82" s="105"/>
      <c r="B82" s="101"/>
      <c r="C82" s="105"/>
      <c r="D82" s="201"/>
    </row>
    <row r="83" spans="1:4" x14ac:dyDescent="0.35">
      <c r="A83" s="105"/>
      <c r="B83" s="101"/>
      <c r="C83" s="105"/>
      <c r="D83" s="201"/>
    </row>
    <row r="84" spans="1:4" x14ac:dyDescent="0.35">
      <c r="A84" s="105"/>
      <c r="B84" s="101"/>
      <c r="C84" s="105"/>
      <c r="D84" s="201"/>
    </row>
    <row r="85" spans="1:4" x14ac:dyDescent="0.35">
      <c r="A85" s="105"/>
      <c r="B85" s="101"/>
      <c r="C85" s="105"/>
      <c r="D85" s="201"/>
    </row>
    <row r="86" spans="1:4" x14ac:dyDescent="0.35">
      <c r="A86" s="105"/>
      <c r="B86" s="101"/>
      <c r="C86" s="105"/>
      <c r="D86" s="201"/>
    </row>
    <row r="87" spans="1:4" x14ac:dyDescent="0.35">
      <c r="A87" s="105"/>
      <c r="B87" s="101"/>
      <c r="C87" s="105"/>
      <c r="D87" s="201"/>
    </row>
    <row r="88" spans="1:4" x14ac:dyDescent="0.35">
      <c r="A88" s="105"/>
      <c r="B88" s="101"/>
      <c r="C88" s="105"/>
      <c r="D88" s="201"/>
    </row>
    <row r="89" spans="1:4" x14ac:dyDescent="0.35">
      <c r="A89" s="105"/>
      <c r="B89" s="101"/>
      <c r="C89" s="105"/>
      <c r="D89" s="201"/>
    </row>
    <row r="90" spans="1:4" x14ac:dyDescent="0.35">
      <c r="A90" s="105"/>
      <c r="B90" s="107"/>
      <c r="C90" s="105"/>
      <c r="D90" s="201"/>
    </row>
    <row r="91" spans="1:4" x14ac:dyDescent="0.35">
      <c r="B91" s="101"/>
    </row>
    <row r="92" spans="1:4" x14ac:dyDescent="0.35">
      <c r="B92" s="101"/>
    </row>
    <row r="94" spans="1:4" x14ac:dyDescent="0.35">
      <c r="A94" s="109"/>
      <c r="B94" s="108"/>
      <c r="C94" s="108"/>
      <c r="D94" s="111"/>
    </row>
    <row r="95" spans="1:4" x14ac:dyDescent="0.35">
      <c r="A95" s="105"/>
      <c r="B95" s="101"/>
      <c r="C95" s="105"/>
      <c r="D95" s="148"/>
    </row>
    <row r="96" spans="1:4" x14ac:dyDescent="0.35">
      <c r="B96" s="101"/>
      <c r="C96" s="105"/>
      <c r="D96" s="148"/>
    </row>
    <row r="97" spans="1:4" x14ac:dyDescent="0.35">
      <c r="B97" s="101"/>
      <c r="C97" s="105"/>
      <c r="D97" s="148"/>
    </row>
    <row r="98" spans="1:4" x14ac:dyDescent="0.35">
      <c r="B98" s="101"/>
      <c r="C98" s="105"/>
      <c r="D98" s="148"/>
    </row>
    <row r="99" spans="1:4" x14ac:dyDescent="0.35">
      <c r="B99" s="101"/>
      <c r="C99" s="105"/>
      <c r="D99" s="148"/>
    </row>
    <row r="100" spans="1:4" x14ac:dyDescent="0.35">
      <c r="B100" s="101"/>
      <c r="C100" s="105"/>
      <c r="D100" s="148"/>
    </row>
    <row r="101" spans="1:4" x14ac:dyDescent="0.35">
      <c r="A101" s="105"/>
      <c r="B101" s="101"/>
      <c r="C101" s="105"/>
      <c r="D101" s="148"/>
    </row>
    <row r="102" spans="1:4" x14ac:dyDescent="0.35">
      <c r="B102" s="101"/>
      <c r="C102" s="105"/>
      <c r="D102" s="148"/>
    </row>
    <row r="103" spans="1:4" x14ac:dyDescent="0.35">
      <c r="A103" s="105"/>
      <c r="B103" s="101"/>
      <c r="C103" s="105"/>
      <c r="D103" s="148"/>
    </row>
    <row r="104" spans="1:4" x14ac:dyDescent="0.35">
      <c r="B104" s="101"/>
      <c r="C104" s="105"/>
      <c r="D104" s="148"/>
    </row>
    <row r="105" spans="1:4" x14ac:dyDescent="0.35">
      <c r="A105" s="105"/>
      <c r="B105" s="101"/>
      <c r="C105" s="105"/>
      <c r="D105" s="148"/>
    </row>
    <row r="106" spans="1:4" x14ac:dyDescent="0.35">
      <c r="B106" s="107"/>
      <c r="C106" s="105"/>
      <c r="D106" s="203"/>
    </row>
    <row r="107" spans="1:4" x14ac:dyDescent="0.35">
      <c r="B107" s="101"/>
    </row>
  </sheetData>
  <sortState xmlns:xlrd2="http://schemas.microsoft.com/office/spreadsheetml/2017/richdata2" ref="A38:R46">
    <sortCondition ref="A38:A46"/>
  </sortState>
  <pageMargins left="0.25" right="0.25" top="0.5" bottom="0.25" header="0.3" footer="0.3"/>
  <pageSetup scale="51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25</vt:i4>
      </vt:variant>
      <vt:variant>
        <vt:lpstr>Named Ranges</vt:lpstr>
      </vt:variant>
      <vt:variant>
        <vt:i4>19</vt:i4>
      </vt:variant>
    </vt:vector>
  </HeadingPairs>
  <TitlesOfParts>
    <vt:vector size="44" baseType="lpstr">
      <vt:lpstr>2014 To 2020</vt:lpstr>
      <vt:lpstr>2018 To 2020</vt:lpstr>
      <vt:lpstr>2018 To 2022</vt:lpstr>
      <vt:lpstr>PLE Financial History</vt:lpstr>
      <vt:lpstr>2014 Ck Reg</vt:lpstr>
      <vt:lpstr>2014 ByMo</vt:lpstr>
      <vt:lpstr>2015 Ck Reg</vt:lpstr>
      <vt:lpstr>2015 ByMo</vt:lpstr>
      <vt:lpstr>2016 Ck Reg</vt:lpstr>
      <vt:lpstr>2016 ByMo</vt:lpstr>
      <vt:lpstr>2017 Ck Reg</vt:lpstr>
      <vt:lpstr>2017 ByMo</vt:lpstr>
      <vt:lpstr>2018 Ck Reg</vt:lpstr>
      <vt:lpstr>2018 ByMo</vt:lpstr>
      <vt:lpstr>2019 Ck Reg</vt:lpstr>
      <vt:lpstr>2019 ByMo</vt:lpstr>
      <vt:lpstr>2020 Ck Reg</vt:lpstr>
      <vt:lpstr>2020 ByMo</vt:lpstr>
      <vt:lpstr>2021 Ck Reg</vt:lpstr>
      <vt:lpstr>2021 ByMo</vt:lpstr>
      <vt:lpstr>2022 Ck Reg</vt:lpstr>
      <vt:lpstr>2022 ByMo</vt:lpstr>
      <vt:lpstr>ReprRepl Reserve</vt:lpstr>
      <vt:lpstr>2014-2018 per Jan19 '19 HOA Rpt</vt:lpstr>
      <vt:lpstr>2019 By Tim</vt:lpstr>
      <vt:lpstr>'2014 ByMo'!Print_Area</vt:lpstr>
      <vt:lpstr>'2014 Ck Reg'!Print_Area</vt:lpstr>
      <vt:lpstr>'2014 To 2020'!Print_Area</vt:lpstr>
      <vt:lpstr>'2015 ByMo'!Print_Area</vt:lpstr>
      <vt:lpstr>'2016 ByMo'!Print_Area</vt:lpstr>
      <vt:lpstr>'2016 Ck Reg'!Print_Area</vt:lpstr>
      <vt:lpstr>'2017 ByMo'!Print_Area</vt:lpstr>
      <vt:lpstr>'2017 Ck Reg'!Print_Area</vt:lpstr>
      <vt:lpstr>'2018 ByMo'!Print_Area</vt:lpstr>
      <vt:lpstr>'2019 ByMo'!Print_Area</vt:lpstr>
      <vt:lpstr>'2019 Ck Reg'!Print_Area</vt:lpstr>
      <vt:lpstr>'2020 ByMo'!Print_Area</vt:lpstr>
      <vt:lpstr>'2020 Ck Reg'!Print_Area</vt:lpstr>
      <vt:lpstr>'2021 ByMo'!Print_Area</vt:lpstr>
      <vt:lpstr>'2021 Ck Reg'!Print_Area</vt:lpstr>
      <vt:lpstr>'2022 ByMo'!Print_Area</vt:lpstr>
      <vt:lpstr>'2022 Ck Reg'!Print_Area</vt:lpstr>
      <vt:lpstr>'PLE Financial History'!Print_Area</vt:lpstr>
      <vt:lpstr>'ReprRepl Reserve'!Print_Area</vt:lpstr>
    </vt:vector>
  </TitlesOfParts>
  <Manager/>
  <Company>Oracle Corporation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Timothy DiMarco</dc:creator>
  <cp:keywords/>
  <dc:description/>
  <cp:lastModifiedBy>william verner</cp:lastModifiedBy>
  <cp:revision/>
  <cp:lastPrinted>2022-12-04T21:43:41Z</cp:lastPrinted>
  <dcterms:created xsi:type="dcterms:W3CDTF">2018-11-29T17:40:32Z</dcterms:created>
  <dcterms:modified xsi:type="dcterms:W3CDTF">2022-12-06T18:50:48Z</dcterms:modified>
  <cp:category/>
  <cp:contentStatus/>
</cp:coreProperties>
</file>